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4\CPA INTHEBLACK\"/>
    </mc:Choice>
  </mc:AlternateContent>
  <xr:revisionPtr revIDLastSave="0" documentId="8_{B1D6D3B9-963C-4BEC-86C2-EB5B9D9D5451}" xr6:coauthVersionLast="40" xr6:coauthVersionMax="40" xr10:uidLastSave="{00000000-0000-0000-0000-000000000000}"/>
  <bookViews>
    <workbookView xWindow="-120" yWindow="-120" windowWidth="29040" windowHeight="15840" activeTab="1" xr2:uid="{C810F2DF-93DC-45EE-BB44-6197717C0A1E}"/>
  </bookViews>
  <sheets>
    <sheet name="Wages_Budget" sheetId="1" r:id="rId1"/>
    <sheet name="Wages_Forecast" sheetId="2" r:id="rId2"/>
  </sheets>
  <definedNames>
    <definedName name="Dept">WagesForecast[Dept]</definedName>
    <definedName name="End">WagesForecast[End Date]</definedName>
    <definedName name="Start">WagesForecast[Start Date]</definedName>
    <definedName name="Total">WagesForecast[Total]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" i="2" l="1"/>
  <c r="R28" i="2" s="1"/>
  <c r="T29" i="2" s="1"/>
  <c r="Q28" i="2"/>
  <c r="S28" i="2"/>
  <c r="T28" i="2"/>
  <c r="Q22" i="2"/>
  <c r="R22" i="2"/>
  <c r="S22" i="2"/>
  <c r="T22" i="2"/>
  <c r="Q23" i="2"/>
  <c r="R23" i="2"/>
  <c r="S23" i="2"/>
  <c r="T23" i="2"/>
  <c r="Q24" i="2"/>
  <c r="R24" i="2"/>
  <c r="S24" i="2"/>
  <c r="T24" i="2"/>
  <c r="Q25" i="2"/>
  <c r="R25" i="2"/>
  <c r="S25" i="2"/>
  <c r="T25" i="2"/>
  <c r="Q26" i="2"/>
  <c r="R26" i="2"/>
  <c r="S26" i="2"/>
  <c r="T26" i="2"/>
  <c r="Q27" i="2"/>
  <c r="R27" i="2"/>
  <c r="S27" i="2"/>
  <c r="T27" i="2"/>
  <c r="S2" i="2"/>
  <c r="T2" i="2"/>
  <c r="R3" i="2"/>
  <c r="S3" i="2"/>
  <c r="T3" i="2"/>
  <c r="R4" i="2"/>
  <c r="S4" i="2"/>
  <c r="T4" i="2"/>
  <c r="R5" i="2"/>
  <c r="S5" i="2"/>
  <c r="T5" i="2"/>
  <c r="R6" i="2"/>
  <c r="S6" i="2"/>
  <c r="T6" i="2"/>
  <c r="R7" i="2"/>
  <c r="S7" i="2"/>
  <c r="T7" i="2"/>
  <c r="R8" i="2"/>
  <c r="S8" i="2"/>
  <c r="T8" i="2"/>
  <c r="R9" i="2"/>
  <c r="S9" i="2"/>
  <c r="T9" i="2"/>
  <c r="R10" i="2"/>
  <c r="S10" i="2"/>
  <c r="T10" i="2"/>
  <c r="R11" i="2"/>
  <c r="S11" i="2"/>
  <c r="T11" i="2"/>
  <c r="R12" i="2"/>
  <c r="S12" i="2"/>
  <c r="T12" i="2"/>
  <c r="R13" i="2"/>
  <c r="S13" i="2"/>
  <c r="T13" i="2"/>
  <c r="R14" i="2"/>
  <c r="S14" i="2"/>
  <c r="T14" i="2"/>
  <c r="R15" i="2"/>
  <c r="S15" i="2"/>
  <c r="T15" i="2"/>
  <c r="R16" i="2"/>
  <c r="S16" i="2"/>
  <c r="T16" i="2"/>
  <c r="R17" i="2"/>
  <c r="S17" i="2"/>
  <c r="T17" i="2"/>
  <c r="R18" i="2"/>
  <c r="S18" i="2"/>
  <c r="T18" i="2"/>
  <c r="R19" i="2"/>
  <c r="S19" i="2"/>
  <c r="T19" i="2"/>
  <c r="R20" i="2"/>
  <c r="S20" i="2"/>
  <c r="T20" i="2"/>
  <c r="R21" i="2"/>
  <c r="S21" i="2"/>
  <c r="T21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" i="2"/>
  <c r="AD3" i="2"/>
  <c r="AD4" i="2"/>
  <c r="AD2" i="2"/>
  <c r="P28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" i="2"/>
  <c r="O2" i="1"/>
  <c r="D18" i="2" l="1"/>
  <c r="E18" i="2" s="1"/>
  <c r="D17" i="2"/>
  <c r="E17" i="2" s="1"/>
  <c r="D16" i="2"/>
  <c r="E16" i="2" s="1"/>
  <c r="G16" i="2" s="1"/>
  <c r="D15" i="2"/>
  <c r="E15" i="2" s="1"/>
  <c r="D14" i="2"/>
  <c r="E14" i="2" s="1"/>
  <c r="D13" i="2"/>
  <c r="E13" i="2" s="1"/>
  <c r="D12" i="2"/>
  <c r="E12" i="2" s="1"/>
  <c r="D11" i="2"/>
  <c r="E11" i="2" s="1"/>
  <c r="G11" i="2" s="1"/>
  <c r="D10" i="2"/>
  <c r="E10" i="2" s="1"/>
  <c r="G10" i="2" s="1"/>
  <c r="D9" i="2"/>
  <c r="E9" i="2" s="1"/>
  <c r="D8" i="2"/>
  <c r="E8" i="2" s="1"/>
  <c r="G8" i="2" s="1"/>
  <c r="D7" i="2"/>
  <c r="E7" i="2" s="1"/>
  <c r="D6" i="2"/>
  <c r="E6" i="2" s="1"/>
  <c r="F6" i="2" s="1"/>
  <c r="D5" i="2"/>
  <c r="E5" i="2" s="1"/>
  <c r="D4" i="2"/>
  <c r="E4" i="2" s="1"/>
  <c r="G4" i="2" s="1"/>
  <c r="D3" i="2"/>
  <c r="E3" i="2" s="1"/>
  <c r="O2" i="2"/>
  <c r="D2" i="2"/>
  <c r="E2" i="2" s="1"/>
  <c r="M2" i="1"/>
  <c r="M3" i="1" s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D2" i="1"/>
  <c r="E2" i="1" s="1"/>
  <c r="G2" i="1" s="1"/>
  <c r="D3" i="1"/>
  <c r="E3" i="1" s="1"/>
  <c r="F3" i="1" s="1"/>
  <c r="D4" i="1"/>
  <c r="E4" i="1" s="1"/>
  <c r="D5" i="1"/>
  <c r="E5" i="1" s="1"/>
  <c r="D6" i="1"/>
  <c r="E6" i="1" s="1"/>
  <c r="G6" i="1" s="1"/>
  <c r="D7" i="1"/>
  <c r="E7" i="1" s="1"/>
  <c r="F7" i="1" s="1"/>
  <c r="D8" i="1"/>
  <c r="E8" i="1" s="1"/>
  <c r="D9" i="1"/>
  <c r="E9" i="1" s="1"/>
  <c r="D10" i="1"/>
  <c r="E10" i="1" s="1"/>
  <c r="D11" i="1"/>
  <c r="E11" i="1" s="1"/>
  <c r="F11" i="1" s="1"/>
  <c r="D12" i="1"/>
  <c r="E12" i="1" s="1"/>
  <c r="D13" i="1"/>
  <c r="E13" i="1" s="1"/>
  <c r="G13" i="1" s="1"/>
  <c r="D14" i="1"/>
  <c r="E14" i="1" s="1"/>
  <c r="G14" i="1" s="1"/>
  <c r="D15" i="1"/>
  <c r="E15" i="1" s="1"/>
  <c r="F15" i="1" s="1"/>
  <c r="D16" i="1"/>
  <c r="E16" i="1" s="1"/>
  <c r="U2" i="1" l="1"/>
  <c r="G15" i="2"/>
  <c r="F15" i="2"/>
  <c r="F9" i="2"/>
  <c r="G9" i="2"/>
  <c r="G13" i="2"/>
  <c r="F13" i="2"/>
  <c r="G17" i="2"/>
  <c r="F17" i="2"/>
  <c r="G5" i="2"/>
  <c r="F5" i="2"/>
  <c r="F7" i="2"/>
  <c r="G7" i="2"/>
  <c r="G12" i="2"/>
  <c r="F12" i="2"/>
  <c r="G3" i="2"/>
  <c r="F3" i="2"/>
  <c r="G14" i="2"/>
  <c r="F14" i="2"/>
  <c r="G18" i="2"/>
  <c r="F18" i="2"/>
  <c r="F8" i="2"/>
  <c r="H8" i="2" s="1"/>
  <c r="F10" i="2"/>
  <c r="H10" i="2" s="1"/>
  <c r="F16" i="2"/>
  <c r="H16" i="2" s="1"/>
  <c r="G6" i="2"/>
  <c r="H6" i="2" s="1"/>
  <c r="O3" i="2"/>
  <c r="F2" i="2"/>
  <c r="F4" i="2"/>
  <c r="H4" i="2" s="1"/>
  <c r="G2" i="2"/>
  <c r="F11" i="2"/>
  <c r="H11" i="2" s="1"/>
  <c r="U8" i="1"/>
  <c r="U7" i="1"/>
  <c r="U9" i="1"/>
  <c r="U6" i="1"/>
  <c r="U13" i="1"/>
  <c r="U5" i="1"/>
  <c r="U12" i="1"/>
  <c r="U4" i="1"/>
  <c r="U11" i="1"/>
  <c r="U3" i="1"/>
  <c r="U10" i="1"/>
  <c r="G10" i="1"/>
  <c r="F10" i="1"/>
  <c r="F9" i="1"/>
  <c r="G9" i="1"/>
  <c r="F4" i="1"/>
  <c r="G4" i="1"/>
  <c r="G16" i="1"/>
  <c r="F16" i="1"/>
  <c r="G8" i="1"/>
  <c r="F8" i="1"/>
  <c r="F5" i="1"/>
  <c r="G5" i="1"/>
  <c r="F12" i="1"/>
  <c r="G12" i="1"/>
  <c r="F13" i="1"/>
  <c r="H13" i="1" s="1"/>
  <c r="F6" i="1"/>
  <c r="H6" i="1" s="1"/>
  <c r="F14" i="1"/>
  <c r="H14" i="1" s="1"/>
  <c r="F2" i="1"/>
  <c r="H2" i="1" s="1"/>
  <c r="G15" i="1"/>
  <c r="H15" i="1" s="1"/>
  <c r="G7" i="1"/>
  <c r="H7" i="1" s="1"/>
  <c r="G11" i="1"/>
  <c r="H11" i="1" s="1"/>
  <c r="G3" i="1"/>
  <c r="H3" i="1" s="1"/>
  <c r="R14" i="1" l="1"/>
  <c r="R23" i="1"/>
  <c r="R20" i="1"/>
  <c r="R16" i="1"/>
  <c r="H3" i="2"/>
  <c r="H12" i="2"/>
  <c r="H13" i="2"/>
  <c r="H17" i="2"/>
  <c r="H14" i="2"/>
  <c r="H2" i="2"/>
  <c r="H5" i="2"/>
  <c r="H15" i="2"/>
  <c r="H18" i="2"/>
  <c r="H7" i="2"/>
  <c r="H9" i="2"/>
  <c r="H16" i="1"/>
  <c r="R29" i="1" s="1"/>
  <c r="H4" i="1"/>
  <c r="H5" i="1"/>
  <c r="H12" i="1"/>
  <c r="H9" i="1"/>
  <c r="H8" i="1"/>
  <c r="H10" i="1"/>
  <c r="O4" i="2"/>
  <c r="U14" i="1"/>
  <c r="R8" i="1" l="1"/>
  <c r="R10" i="1"/>
  <c r="R22" i="1"/>
  <c r="Q6" i="1"/>
  <c r="Q14" i="1"/>
  <c r="Q22" i="1"/>
  <c r="Q25" i="1"/>
  <c r="Q26" i="1"/>
  <c r="Q29" i="1"/>
  <c r="Q9" i="1"/>
  <c r="Q17" i="1"/>
  <c r="Q15" i="1"/>
  <c r="Q4" i="1"/>
  <c r="Q12" i="1"/>
  <c r="Q20" i="1"/>
  <c r="Q10" i="1"/>
  <c r="Q18" i="1"/>
  <c r="Q5" i="1"/>
  <c r="Q13" i="1"/>
  <c r="Q21" i="1"/>
  <c r="Q7" i="1"/>
  <c r="Q23" i="1"/>
  <c r="Q8" i="1"/>
  <c r="Q16" i="1"/>
  <c r="Q24" i="1"/>
  <c r="Q27" i="1"/>
  <c r="Q2" i="1"/>
  <c r="Q3" i="1"/>
  <c r="Q11" i="1"/>
  <c r="Q19" i="1"/>
  <c r="R21" i="1"/>
  <c r="R15" i="1"/>
  <c r="R6" i="1"/>
  <c r="R13" i="1"/>
  <c r="R7" i="1"/>
  <c r="R12" i="1"/>
  <c r="R5" i="1"/>
  <c r="R4" i="1"/>
  <c r="R19" i="1"/>
  <c r="R2" i="1"/>
  <c r="R27" i="1"/>
  <c r="R25" i="1"/>
  <c r="R11" i="1"/>
  <c r="P9" i="1"/>
  <c r="P17" i="1"/>
  <c r="P25" i="1"/>
  <c r="P4" i="1"/>
  <c r="P12" i="1"/>
  <c r="P20" i="1"/>
  <c r="P2" i="1"/>
  <c r="P29" i="1"/>
  <c r="P7" i="1"/>
  <c r="P15" i="1"/>
  <c r="P23" i="1"/>
  <c r="P10" i="1"/>
  <c r="P26" i="1"/>
  <c r="P5" i="1"/>
  <c r="P13" i="1"/>
  <c r="P21" i="1"/>
  <c r="P8" i="1"/>
  <c r="P16" i="1"/>
  <c r="P24" i="1"/>
  <c r="P22" i="1"/>
  <c r="P3" i="1"/>
  <c r="P11" i="1"/>
  <c r="P19" i="1"/>
  <c r="P27" i="1"/>
  <c r="P6" i="1"/>
  <c r="P14" i="1"/>
  <c r="P18" i="1"/>
  <c r="O7" i="1"/>
  <c r="R24" i="1"/>
  <c r="R26" i="1"/>
  <c r="R17" i="1"/>
  <c r="R3" i="1"/>
  <c r="R18" i="1"/>
  <c r="R9" i="1"/>
  <c r="Z3" i="2"/>
  <c r="Z2" i="2"/>
  <c r="Z4" i="2"/>
  <c r="O8" i="1"/>
  <c r="O22" i="1"/>
  <c r="O14" i="1"/>
  <c r="O13" i="1"/>
  <c r="N27" i="1"/>
  <c r="O5" i="1"/>
  <c r="O16" i="1"/>
  <c r="O4" i="1"/>
  <c r="N9" i="1"/>
  <c r="O9" i="1"/>
  <c r="N20" i="1"/>
  <c r="O18" i="1"/>
  <c r="O11" i="1"/>
  <c r="N5" i="1"/>
  <c r="N3" i="1"/>
  <c r="N23" i="1"/>
  <c r="O10" i="1"/>
  <c r="N26" i="1"/>
  <c r="O26" i="1"/>
  <c r="O23" i="1"/>
  <c r="O29" i="1"/>
  <c r="O6" i="1"/>
  <c r="N15" i="1"/>
  <c r="O25" i="1"/>
  <c r="N18" i="1"/>
  <c r="O15" i="1"/>
  <c r="N13" i="1"/>
  <c r="N24" i="1"/>
  <c r="N7" i="1"/>
  <c r="N14" i="1"/>
  <c r="N16" i="1"/>
  <c r="O20" i="1"/>
  <c r="N19" i="1"/>
  <c r="N2" i="1"/>
  <c r="N12" i="1"/>
  <c r="N25" i="1"/>
  <c r="O19" i="1"/>
  <c r="N8" i="1"/>
  <c r="O27" i="1"/>
  <c r="N11" i="1"/>
  <c r="O12" i="1"/>
  <c r="N4" i="1"/>
  <c r="N17" i="1"/>
  <c r="N6" i="1"/>
  <c r="N10" i="1"/>
  <c r="N21" i="1"/>
  <c r="O21" i="1"/>
  <c r="O3" i="1"/>
  <c r="O24" i="1"/>
  <c r="N22" i="1"/>
  <c r="O17" i="1"/>
  <c r="N29" i="1"/>
  <c r="O5" i="2"/>
  <c r="Z5" i="2" s="1"/>
  <c r="R28" i="1" l="1"/>
  <c r="Q28" i="1"/>
  <c r="P28" i="1"/>
  <c r="O28" i="1"/>
  <c r="N28" i="1"/>
  <c r="O6" i="2"/>
  <c r="Z6" i="2" l="1"/>
  <c r="O7" i="2"/>
  <c r="V4" i="1"/>
  <c r="V3" i="1"/>
  <c r="V10" i="1"/>
  <c r="V9" i="1"/>
  <c r="V2" i="1"/>
  <c r="V13" i="1"/>
  <c r="V12" i="1"/>
  <c r="V8" i="1"/>
  <c r="V6" i="1"/>
  <c r="V7" i="1"/>
  <c r="V5" i="1"/>
  <c r="V11" i="1"/>
  <c r="Z7" i="2" l="1"/>
  <c r="O8" i="2"/>
  <c r="V14" i="1"/>
  <c r="Z8" i="2" l="1"/>
  <c r="O9" i="2"/>
  <c r="Z9" i="2" l="1"/>
  <c r="O10" i="2"/>
  <c r="Z10" i="2" l="1"/>
  <c r="O11" i="2"/>
  <c r="Z11" i="2" l="1"/>
  <c r="O12" i="2"/>
  <c r="Z12" i="2" l="1"/>
  <c r="O13" i="2"/>
  <c r="Z13" i="2" l="1"/>
  <c r="O14" i="2"/>
  <c r="Z14" i="2" l="1"/>
  <c r="O15" i="2"/>
  <c r="Z15" i="2" l="1"/>
  <c r="O16" i="2"/>
  <c r="Z16" i="2" l="1"/>
  <c r="O17" i="2"/>
  <c r="Z17" i="2" l="1"/>
  <c r="O18" i="2"/>
  <c r="Z18" i="2" l="1"/>
  <c r="O19" i="2"/>
  <c r="Z19" i="2" l="1"/>
  <c r="O20" i="2"/>
  <c r="Z20" i="2" l="1"/>
  <c r="O21" i="2"/>
  <c r="Z21" i="2" l="1"/>
  <c r="O22" i="2"/>
  <c r="Z22" i="2" l="1"/>
  <c r="O23" i="2"/>
  <c r="Z23" i="2" l="1"/>
  <c r="O24" i="2"/>
  <c r="Z24" i="2" l="1"/>
  <c r="O25" i="2"/>
  <c r="Z25" i="2" l="1"/>
  <c r="O26" i="2"/>
  <c r="Z26" i="2" l="1"/>
  <c r="O27" i="2"/>
  <c r="X13" i="2" l="1"/>
  <c r="Z27" i="2"/>
  <c r="W3" i="2"/>
  <c r="X3" i="2"/>
  <c r="X10" i="2"/>
  <c r="W2" i="2"/>
  <c r="W10" i="2"/>
  <c r="X11" i="2"/>
  <c r="W13" i="2"/>
  <c r="X9" i="2"/>
  <c r="X4" i="2"/>
  <c r="W9" i="2"/>
  <c r="X6" i="2"/>
  <c r="W6" i="2"/>
  <c r="W11" i="2"/>
  <c r="X7" i="2"/>
  <c r="W7" i="2"/>
  <c r="W4" i="2"/>
  <c r="W8" i="2"/>
  <c r="X8" i="2"/>
  <c r="W5" i="2"/>
  <c r="X2" i="2"/>
  <c r="X12" i="2"/>
  <c r="W12" i="2"/>
  <c r="W14" i="2" l="1"/>
  <c r="X5" i="2"/>
  <c r="X14" i="2" s="1"/>
</calcChain>
</file>

<file path=xl/sharedStrings.xml><?xml version="1.0" encoding="utf-8"?>
<sst xmlns="http://schemas.openxmlformats.org/spreadsheetml/2006/main" count="115" uniqueCount="44">
  <si>
    <t>Employee</t>
  </si>
  <si>
    <t>Dept</t>
  </si>
  <si>
    <t>Base Salary</t>
  </si>
  <si>
    <t>AL Loading</t>
  </si>
  <si>
    <t>Total Salary</t>
  </si>
  <si>
    <t>SGC</t>
  </si>
  <si>
    <t>Employee_01</t>
  </si>
  <si>
    <t>Employee_02</t>
  </si>
  <si>
    <t>Employee_03</t>
  </si>
  <si>
    <t>Employee_04</t>
  </si>
  <si>
    <t>Employee_05</t>
  </si>
  <si>
    <t>Employee_06</t>
  </si>
  <si>
    <t>Employee_07</t>
  </si>
  <si>
    <t>Employee_08</t>
  </si>
  <si>
    <t>Employee_09</t>
  </si>
  <si>
    <t>Employee_10</t>
  </si>
  <si>
    <t>Employee_11</t>
  </si>
  <si>
    <t>Employee_12</t>
  </si>
  <si>
    <t>Employee_13</t>
  </si>
  <si>
    <t>Employee_14</t>
  </si>
  <si>
    <t>Employee_15</t>
  </si>
  <si>
    <t>SGC %</t>
  </si>
  <si>
    <t>Workings</t>
  </si>
  <si>
    <t>Input</t>
  </si>
  <si>
    <t>Sales</t>
  </si>
  <si>
    <t>Administration</t>
  </si>
  <si>
    <t>Production</t>
  </si>
  <si>
    <t>Distribution</t>
  </si>
  <si>
    <t>AL Loading %</t>
  </si>
  <si>
    <t>Total</t>
  </si>
  <si>
    <t>First Fortnight</t>
  </si>
  <si>
    <t>Month</t>
  </si>
  <si>
    <t>Fortnights</t>
  </si>
  <si>
    <t>Fortnight Pays</t>
  </si>
  <si>
    <t>Check</t>
  </si>
  <si>
    <t>Budget Payroll</t>
  </si>
  <si>
    <t>Forecast Payroll</t>
  </si>
  <si>
    <t>Employee_16</t>
  </si>
  <si>
    <t>Employee_17</t>
  </si>
  <si>
    <t>Work Comp</t>
  </si>
  <si>
    <t>Workers Comp %</t>
  </si>
  <si>
    <t>Total Payroll</t>
  </si>
  <si>
    <t>Start Date</t>
  </si>
  <si>
    <t>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</si>
</sst>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0" fontId="0" fillId="2" borderId="1" xfId="0" applyNumberFormat="1" applyFill="1" applyBorder="1"/>
    <xf numFmtId="164" fontId="0" fillId="2" borderId="1" xfId="0" applyNumberFormat="1" applyFill="1" applyBorder="1"/>
    <xf numFmtId="165" fontId="0" fillId="0" borderId="0" xfId="1" applyNumberFormat="1" applyFont="1"/>
    <xf numFmtId="165" fontId="0" fillId="0" borderId="1" xfId="1" applyNumberFormat="1" applyFont="1" applyBorder="1"/>
    <xf numFmtId="14" fontId="0" fillId="0" borderId="1" xfId="0" applyNumberFormat="1" applyBorder="1"/>
    <xf numFmtId="14" fontId="0" fillId="2" borderId="1" xfId="0" applyNumberFormat="1" applyFill="1" applyBorder="1"/>
    <xf numFmtId="14" fontId="0" fillId="0" borderId="0" xfId="0" applyNumberFormat="1"/>
    <xf numFmtId="14" fontId="2" fillId="0" borderId="1" xfId="0" applyNumberFormat="1" applyFont="1" applyBorder="1"/>
    <xf numFmtId="165" fontId="2" fillId="0" borderId="1" xfId="1" applyNumberFormat="1" applyFont="1" applyBorder="1"/>
    <xf numFmtId="14" fontId="0" fillId="0" borderId="0" xfId="1" applyNumberFormat="1" applyFont="1"/>
    <xf numFmtId="165" fontId="0" fillId="0" borderId="0" xfId="0" applyNumberFormat="1"/>
  </cellXfs>
  <cellStyles count="2">
    <cellStyle name="Comma" xfId="1" builtinId="3"/>
    <cellStyle name="Normal" xfId="0" builtinId="0"/>
  </cellStyles>
  <dxfs count="16">
    <dxf>
      <numFmt numFmtId="19" formatCode="d/mm/yyyy"/>
    </dxf>
    <dxf>
      <numFmt numFmtId="19" formatCode="d/mm/yyyy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40FDFB-C96D-4B0E-B73E-266F8420DA65}" name="WagesBudget" displayName="WagesBudget" ref="A1:H16" totalsRowShown="0" headerRowDxfId="15">
  <autoFilter ref="A1:H16" xr:uid="{00F1E2CD-E847-4545-9AE4-EB99DFBC2CA0}"/>
  <tableColumns count="8">
    <tableColumn id="1" xr3:uid="{6C70DC41-19F4-46BA-AB6F-5095BF0837AC}" name="Employee"/>
    <tableColumn id="2" xr3:uid="{443F31B7-B336-4D00-BF12-A1204C075E0E}" name="Dept"/>
    <tableColumn id="3" xr3:uid="{AB74D166-249C-4101-8B34-737D4CD18D92}" name="Base Salary" dataDxfId="14" dataCellStyle="Comma"/>
    <tableColumn id="4" xr3:uid="{05BE0668-47EF-457A-9913-50E25BDDBBF7}" name="AL Loading" dataDxfId="13" dataCellStyle="Comma">
      <calculatedColumnFormula>ROUND(WagesBudget[[#This Row],[Base Salary]]/52*4*$K$2,0)</calculatedColumnFormula>
    </tableColumn>
    <tableColumn id="5" xr3:uid="{386A00ED-C952-4D9C-B83A-DBC7F77570B0}" name="Total Salary" dataDxfId="12" dataCellStyle="Comma">
      <calculatedColumnFormula>+WagesBudget[[#This Row],[AL Loading]]+WagesBudget[[#This Row],[Base Salary]]</calculatedColumnFormula>
    </tableColumn>
    <tableColumn id="6" xr3:uid="{D66B41E3-0E4E-4DD5-A326-148BB0228E11}" name="SGC" dataDxfId="11" dataCellStyle="Comma">
      <calculatedColumnFormula>ROUND(+WagesBudget[[#This Row],[Total Salary]]*$K$3,0)</calculatedColumnFormula>
    </tableColumn>
    <tableColumn id="7" xr3:uid="{DA97B267-D5D7-4A7C-AF27-CF9CA9D272BA}" name="Work Comp" dataDxfId="10" dataCellStyle="Comma">
      <calculatedColumnFormula>ROUND(WagesBudget[[#This Row],[Total Salary]]*$K$4,0)</calculatedColumnFormula>
    </tableColumn>
    <tableColumn id="9" xr3:uid="{C7D5DC1E-A260-465E-B494-A8851B2B34C0}" name="Total" dataDxfId="9" dataCellStyle="Comma">
      <calculatedColumnFormula>SUM(WagesBudget[[#This Row],[Total Salary]:[Work Comp]])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3A9051-53C9-4CC4-B556-653E9A956B7B}" name="WagesForecast" displayName="WagesForecast" ref="A1:J18" totalsRowShown="0" headerRowDxfId="8">
  <autoFilter ref="A1:J18" xr:uid="{00F1E2CD-E847-4545-9AE4-EB99DFBC2CA0}"/>
  <tableColumns count="10">
    <tableColumn id="1" xr3:uid="{0831A181-3931-4946-8711-2820316F19B7}" name="Employee"/>
    <tableColumn id="2" xr3:uid="{71E3635C-6FB4-4B40-97CB-FD5C5C5A1B81}" name="Dept"/>
    <tableColumn id="3" xr3:uid="{36A7F1EC-459A-4E12-8A7F-C0D30A2C445A}" name="Base Salary" dataDxfId="7" dataCellStyle="Comma"/>
    <tableColumn id="4" xr3:uid="{CACD3998-35CF-4F6F-B61F-7ED5A02713B8}" name="AL Loading" dataDxfId="6" dataCellStyle="Comma">
      <calculatedColumnFormula>ROUND(WagesForecast[[#This Row],[Base Salary]]/52*4*$M$2,0)</calculatedColumnFormula>
    </tableColumn>
    <tableColumn id="5" xr3:uid="{10B54DF7-9B5D-470E-BE55-76FCC0D9DDC7}" name="Total Salary" dataDxfId="5" dataCellStyle="Comma">
      <calculatedColumnFormula>+WagesForecast[[#This Row],[AL Loading]]+WagesForecast[[#This Row],[Base Salary]]</calculatedColumnFormula>
    </tableColumn>
    <tableColumn id="6" xr3:uid="{D4D92072-BB79-433C-A403-815C504280E8}" name="SGC" dataDxfId="4" dataCellStyle="Comma">
      <calculatedColumnFormula>ROUND(+WagesForecast[[#This Row],[Total Salary]]*$M$3,0)</calculatedColumnFormula>
    </tableColumn>
    <tableColumn id="7" xr3:uid="{FA02C6DF-E497-4303-B3AC-A7390091E374}" name="Work Comp" dataDxfId="3" dataCellStyle="Comma">
      <calculatedColumnFormula>ROUND(WagesForecast[[#This Row],[Total Salary]]*$M$4,0)</calculatedColumnFormula>
    </tableColumn>
    <tableColumn id="9" xr3:uid="{69735DEB-7E2F-4BD4-8321-060A940192EE}" name="Total" dataDxfId="2" dataCellStyle="Comma">
      <calculatedColumnFormula>SUM(WagesForecast[[#This Row],[Total Salary]:[Work Comp]])</calculatedColumnFormula>
    </tableColumn>
    <tableColumn id="10" xr3:uid="{24774872-06C3-4414-AA45-D5FDF8117F37}" name="Start Date" dataDxfId="1" dataCellStyle="Comma"/>
    <tableColumn id="11" xr3:uid="{93044E5B-FB08-4DA9-90DE-8914A388FB0F}" name="End Date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3C691-B38C-4B7A-AF34-5686418AC382}">
  <dimension ref="A1:V45"/>
  <sheetViews>
    <sheetView showGridLines="0" topLeftCell="L1" zoomScale="175" zoomScaleNormal="175" workbookViewId="0">
      <selection activeCell="O2" sqref="O2"/>
    </sheetView>
  </sheetViews>
  <sheetFormatPr defaultRowHeight="15" x14ac:dyDescent="0.25"/>
  <cols>
    <col min="1" max="1" width="12.85546875" bestFit="1" customWidth="1"/>
    <col min="2" max="2" width="14.42578125" bestFit="1" customWidth="1"/>
    <col min="3" max="3" width="13" customWidth="1"/>
    <col min="4" max="4" width="12.5703125" customWidth="1"/>
    <col min="5" max="5" width="13.42578125" bestFit="1" customWidth="1"/>
    <col min="6" max="6" width="7.28515625" bestFit="1" customWidth="1"/>
    <col min="7" max="7" width="13.7109375" bestFit="1" customWidth="1"/>
    <col min="8" max="8" width="11.140625" bestFit="1" customWidth="1"/>
    <col min="9" max="9" width="3.7109375" customWidth="1"/>
    <col min="10" max="10" width="16.28515625" bestFit="1" customWidth="1"/>
    <col min="11" max="11" width="13.140625" customWidth="1"/>
    <col min="12" max="12" width="2.85546875" customWidth="1"/>
    <col min="13" max="13" width="14.5703125" customWidth="1"/>
    <col min="14" max="14" width="13.5703125" bestFit="1" customWidth="1"/>
    <col min="15" max="15" width="59.28515625" customWidth="1"/>
    <col min="16" max="16" width="14.42578125" bestFit="1" customWidth="1"/>
    <col min="17" max="17" width="9.5703125" bestFit="1" customWidth="1"/>
    <col min="18" max="18" width="11.5703125" bestFit="1" customWidth="1"/>
    <col min="19" max="19" width="3.85546875" customWidth="1"/>
    <col min="20" max="20" width="10.42578125" customWidth="1"/>
    <col min="21" max="21" width="10.5703125" customWidth="1"/>
    <col min="22" max="22" width="14" bestFit="1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39</v>
      </c>
      <c r="H1" s="1" t="s">
        <v>29</v>
      </c>
      <c r="J1" s="2" t="s">
        <v>22</v>
      </c>
      <c r="K1" s="3" t="s">
        <v>23</v>
      </c>
      <c r="M1" s="2" t="s">
        <v>33</v>
      </c>
      <c r="N1" s="13" t="s">
        <v>41</v>
      </c>
      <c r="O1" s="13" t="s">
        <v>26</v>
      </c>
      <c r="P1" s="2" t="s">
        <v>25</v>
      </c>
      <c r="Q1" s="2" t="s">
        <v>24</v>
      </c>
      <c r="R1" s="2" t="s">
        <v>27</v>
      </c>
      <c r="T1" s="2" t="s">
        <v>31</v>
      </c>
      <c r="U1" s="2" t="s">
        <v>32</v>
      </c>
      <c r="V1" s="2" t="s">
        <v>35</v>
      </c>
    </row>
    <row r="2" spans="1:22" x14ac:dyDescent="0.25">
      <c r="A2" t="s">
        <v>6</v>
      </c>
      <c r="B2" t="s">
        <v>26</v>
      </c>
      <c r="C2" s="7">
        <v>65436</v>
      </c>
      <c r="D2" s="7">
        <f>ROUND(WagesBudget[[#This Row],[Base Salary]]/52*4*$K$2,0)</f>
        <v>881</v>
      </c>
      <c r="E2" s="7">
        <f>+WagesBudget[[#This Row],[AL Loading]]+WagesBudget[[#This Row],[Base Salary]]</f>
        <v>66317</v>
      </c>
      <c r="F2" s="7">
        <f>ROUND(+WagesBudget[[#This Row],[Total Salary]]*$K$3,0)</f>
        <v>6300</v>
      </c>
      <c r="G2" s="7">
        <f>ROUND(WagesBudget[[#This Row],[Total Salary]]*$K$4,0)</f>
        <v>1658</v>
      </c>
      <c r="H2" s="7">
        <f>SUM(WagesBudget[[#This Row],[Total Salary]:[Work Comp]])</f>
        <v>74275</v>
      </c>
      <c r="J2" s="4" t="s">
        <v>28</v>
      </c>
      <c r="K2" s="5">
        <v>0.17499999999999999</v>
      </c>
      <c r="M2" s="9">
        <f>+K5</f>
        <v>43650</v>
      </c>
      <c r="N2" s="8">
        <f>SUM(WagesBudget[Total])/26</f>
        <v>41238.807692307695</v>
      </c>
      <c r="O2" s="8">
        <f>SUMIFS(WagesBudget[Total],WagesBudget[Dept],O$1)/26</f>
        <v>16978.461538461539</v>
      </c>
      <c r="P2" s="8">
        <f>SUMIFS(WagesBudget[Total],WagesBudget[Dept],P$1)/26</f>
        <v>4988.3461538461543</v>
      </c>
      <c r="Q2" s="8">
        <f>SUMIFS(WagesBudget[Total],WagesBudget[Dept],Q$1)/26</f>
        <v>14544.423076923076</v>
      </c>
      <c r="R2" s="8">
        <f>SUMIFS(WagesBudget[Total],WagesBudget[Dept],R$1)/26</f>
        <v>4727.5769230769229</v>
      </c>
      <c r="T2" s="9">
        <v>43647</v>
      </c>
      <c r="U2" s="4">
        <f t="shared" ref="U2:U13" si="0">COUNTIFS($M$2:$M$27,"&gt;="&amp;T2,$M$2:$M$27,"&lt;="&amp;EOMONTH(T2,0))</f>
        <v>2</v>
      </c>
      <c r="V2" s="8">
        <f t="shared" ref="V2:V13" si="1">SUMIFS(N$2:N$27,$M$2:$M$27,"&gt;="&amp;$T2,$M$2:$M$27,"&lt;="&amp;EOMONTH($T2,0))</f>
        <v>82477.61538461539</v>
      </c>
    </row>
    <row r="3" spans="1:22" x14ac:dyDescent="0.25">
      <c r="A3" t="s">
        <v>7</v>
      </c>
      <c r="B3" t="s">
        <v>26</v>
      </c>
      <c r="C3" s="7">
        <v>58931</v>
      </c>
      <c r="D3" s="7">
        <f>ROUND(WagesBudget[[#This Row],[Base Salary]]/52*4*$K$2,0)</f>
        <v>793</v>
      </c>
      <c r="E3" s="7">
        <f>+WagesBudget[[#This Row],[AL Loading]]+WagesBudget[[#This Row],[Base Salary]]</f>
        <v>59724</v>
      </c>
      <c r="F3" s="7">
        <f>ROUND(+WagesBudget[[#This Row],[Total Salary]]*$K$3,0)</f>
        <v>5674</v>
      </c>
      <c r="G3" s="7">
        <f>ROUND(WagesBudget[[#This Row],[Total Salary]]*$K$4,0)</f>
        <v>1493</v>
      </c>
      <c r="H3" s="7">
        <f>SUM(WagesBudget[[#This Row],[Total Salary]:[Work Comp]])</f>
        <v>66891</v>
      </c>
      <c r="J3" s="4" t="s">
        <v>21</v>
      </c>
      <c r="K3" s="5">
        <v>9.5000000000000001E-2</v>
      </c>
      <c r="M3" s="9">
        <f>+M2+14</f>
        <v>43664</v>
      </c>
      <c r="N3" s="8">
        <f>SUM(WagesBudget[Total])/26</f>
        <v>41238.807692307695</v>
      </c>
      <c r="O3" s="8">
        <f>SUMIFS(WagesBudget[Total],WagesBudget[Dept],$O$1)/26</f>
        <v>16978.461538461539</v>
      </c>
      <c r="P3" s="8">
        <f>SUMIFS(WagesBudget[Total],WagesBudget[Dept],P$1)/26</f>
        <v>4988.3461538461543</v>
      </c>
      <c r="Q3" s="8">
        <f>SUMIFS(WagesBudget[Total],WagesBudget[Dept],Q$1)/26</f>
        <v>14544.423076923076</v>
      </c>
      <c r="R3" s="8">
        <f>SUMIFS(WagesBudget[Total],WagesBudget[Dept],R$1)/26</f>
        <v>4727.5769230769229</v>
      </c>
      <c r="T3" s="9">
        <v>43678</v>
      </c>
      <c r="U3" s="4">
        <f t="shared" si="0"/>
        <v>3</v>
      </c>
      <c r="V3" s="8">
        <f t="shared" si="1"/>
        <v>123716.42307692309</v>
      </c>
    </row>
    <row r="4" spans="1:22" x14ac:dyDescent="0.25">
      <c r="A4" t="s">
        <v>8</v>
      </c>
      <c r="B4" t="s">
        <v>26</v>
      </c>
      <c r="C4" s="7">
        <v>62118</v>
      </c>
      <c r="D4" s="7">
        <f>ROUND(WagesBudget[[#This Row],[Base Salary]]/52*4*$K$2,0)</f>
        <v>836</v>
      </c>
      <c r="E4" s="7">
        <f>+WagesBudget[[#This Row],[AL Loading]]+WagesBudget[[#This Row],[Base Salary]]</f>
        <v>62954</v>
      </c>
      <c r="F4" s="7">
        <f>ROUND(+WagesBudget[[#This Row],[Total Salary]]*$K$3,0)</f>
        <v>5981</v>
      </c>
      <c r="G4" s="7">
        <f>ROUND(WagesBudget[[#This Row],[Total Salary]]*$K$4,0)</f>
        <v>1574</v>
      </c>
      <c r="H4" s="7">
        <f>SUM(WagesBudget[[#This Row],[Total Salary]:[Work Comp]])</f>
        <v>70509</v>
      </c>
      <c r="J4" s="4" t="s">
        <v>40</v>
      </c>
      <c r="K4" s="6">
        <v>2.5000000000000001E-2</v>
      </c>
      <c r="M4" s="9">
        <f t="shared" ref="M4:M27" si="2">+M3+14</f>
        <v>43678</v>
      </c>
      <c r="N4" s="8">
        <f>SUM(WagesBudget[Total])/26</f>
        <v>41238.807692307695</v>
      </c>
      <c r="O4" s="8">
        <f>SUMIFS(WagesBudget[Total],WagesBudget[Dept],$O$1)/26</f>
        <v>16978.461538461539</v>
      </c>
      <c r="P4" s="8">
        <f>SUMIFS(WagesBudget[Total],WagesBudget[Dept],P$1)/26</f>
        <v>4988.3461538461543</v>
      </c>
      <c r="Q4" s="8">
        <f>SUMIFS(WagesBudget[Total],WagesBudget[Dept],Q$1)/26</f>
        <v>14544.423076923076</v>
      </c>
      <c r="R4" s="8">
        <f>SUMIFS(WagesBudget[Total],WagesBudget[Dept],R$1)/26</f>
        <v>4727.5769230769229</v>
      </c>
      <c r="T4" s="9">
        <v>43709</v>
      </c>
      <c r="U4" s="4">
        <f t="shared" si="0"/>
        <v>2</v>
      </c>
      <c r="V4" s="8">
        <f t="shared" si="1"/>
        <v>82477.61538461539</v>
      </c>
    </row>
    <row r="5" spans="1:22" x14ac:dyDescent="0.25">
      <c r="A5" t="s">
        <v>9</v>
      </c>
      <c r="B5" t="s">
        <v>26</v>
      </c>
      <c r="C5" s="7">
        <v>72267</v>
      </c>
      <c r="D5" s="7">
        <f>ROUND(WagesBudget[[#This Row],[Base Salary]]/52*4*$K$2,0)</f>
        <v>973</v>
      </c>
      <c r="E5" s="7">
        <f>+WagesBudget[[#This Row],[AL Loading]]+WagesBudget[[#This Row],[Base Salary]]</f>
        <v>73240</v>
      </c>
      <c r="F5" s="7">
        <f>ROUND(+WagesBudget[[#This Row],[Total Salary]]*$K$3,0)</f>
        <v>6958</v>
      </c>
      <c r="G5" s="7">
        <f>ROUND(WagesBudget[[#This Row],[Total Salary]]*$K$4,0)</f>
        <v>1831</v>
      </c>
      <c r="H5" s="7">
        <f>SUM(WagesBudget[[#This Row],[Total Salary]:[Work Comp]])</f>
        <v>82029</v>
      </c>
      <c r="J5" s="4" t="s">
        <v>30</v>
      </c>
      <c r="K5" s="10">
        <v>43650</v>
      </c>
      <c r="M5" s="9">
        <f t="shared" si="2"/>
        <v>43692</v>
      </c>
      <c r="N5" s="8">
        <f>SUM(WagesBudget[Total])/26</f>
        <v>41238.807692307695</v>
      </c>
      <c r="O5" s="8">
        <f>SUMIFS(WagesBudget[Total],WagesBudget[Dept],$O$1)/26</f>
        <v>16978.461538461539</v>
      </c>
      <c r="P5" s="8">
        <f>SUMIFS(WagesBudget[Total],WagesBudget[Dept],P$1)/26</f>
        <v>4988.3461538461543</v>
      </c>
      <c r="Q5" s="8">
        <f>SUMIFS(WagesBudget[Total],WagesBudget[Dept],Q$1)/26</f>
        <v>14544.423076923076</v>
      </c>
      <c r="R5" s="8">
        <f>SUMIFS(WagesBudget[Total],WagesBudget[Dept],R$1)/26</f>
        <v>4727.5769230769229</v>
      </c>
      <c r="T5" s="9">
        <v>43739</v>
      </c>
      <c r="U5" s="4">
        <f t="shared" si="0"/>
        <v>2</v>
      </c>
      <c r="V5" s="8">
        <f t="shared" si="1"/>
        <v>82477.61538461539</v>
      </c>
    </row>
    <row r="6" spans="1:22" x14ac:dyDescent="0.25">
      <c r="A6" t="s">
        <v>10</v>
      </c>
      <c r="B6" t="s">
        <v>26</v>
      </c>
      <c r="C6" s="7">
        <v>67102</v>
      </c>
      <c r="D6" s="7">
        <f>ROUND(WagesBudget[[#This Row],[Base Salary]]/52*4*$K$2,0)</f>
        <v>903</v>
      </c>
      <c r="E6" s="7">
        <f>+WagesBudget[[#This Row],[AL Loading]]+WagesBudget[[#This Row],[Base Salary]]</f>
        <v>68005</v>
      </c>
      <c r="F6" s="7">
        <f>ROUND(+WagesBudget[[#This Row],[Total Salary]]*$K$3,0)</f>
        <v>6460</v>
      </c>
      <c r="G6" s="7">
        <f>ROUND(WagesBudget[[#This Row],[Total Salary]]*$K$4,0)</f>
        <v>1700</v>
      </c>
      <c r="H6" s="7">
        <f>SUM(WagesBudget[[#This Row],[Total Salary]:[Work Comp]])</f>
        <v>76165</v>
      </c>
      <c r="M6" s="9">
        <f t="shared" si="2"/>
        <v>43706</v>
      </c>
      <c r="N6" s="8">
        <f>SUM(WagesBudget[Total])/26</f>
        <v>41238.807692307695</v>
      </c>
      <c r="O6" s="8">
        <f>SUMIFS(WagesBudget[Total],WagesBudget[Dept],$O$1)/26</f>
        <v>16978.461538461539</v>
      </c>
      <c r="P6" s="8">
        <f>SUMIFS(WagesBudget[Total],WagesBudget[Dept],P$1)/26</f>
        <v>4988.3461538461543</v>
      </c>
      <c r="Q6" s="8">
        <f>SUMIFS(WagesBudget[Total],WagesBudget[Dept],Q$1)/26</f>
        <v>14544.423076923076</v>
      </c>
      <c r="R6" s="8">
        <f>SUMIFS(WagesBudget[Total],WagesBudget[Dept],R$1)/26</f>
        <v>4727.5769230769229</v>
      </c>
      <c r="T6" s="9">
        <v>43770</v>
      </c>
      <c r="U6" s="4">
        <f t="shared" si="0"/>
        <v>2</v>
      </c>
      <c r="V6" s="8">
        <f t="shared" si="1"/>
        <v>82477.61538461539</v>
      </c>
    </row>
    <row r="7" spans="1:22" x14ac:dyDescent="0.25">
      <c r="A7" t="s">
        <v>11</v>
      </c>
      <c r="B7" t="s">
        <v>26</v>
      </c>
      <c r="C7" s="7">
        <v>63053</v>
      </c>
      <c r="D7" s="7">
        <f>ROUND(WagesBudget[[#This Row],[Base Salary]]/52*4*$K$2,0)</f>
        <v>849</v>
      </c>
      <c r="E7" s="7">
        <f>+WagesBudget[[#This Row],[AL Loading]]+WagesBudget[[#This Row],[Base Salary]]</f>
        <v>63902</v>
      </c>
      <c r="F7" s="7">
        <f>ROUND(+WagesBudget[[#This Row],[Total Salary]]*$K$3,0)</f>
        <v>6071</v>
      </c>
      <c r="G7" s="7">
        <f>ROUND(WagesBudget[[#This Row],[Total Salary]]*$K$4,0)</f>
        <v>1598</v>
      </c>
      <c r="H7" s="7">
        <f>SUM(WagesBudget[[#This Row],[Total Salary]:[Work Comp]])</f>
        <v>71571</v>
      </c>
      <c r="M7" s="9">
        <f t="shared" si="2"/>
        <v>43720</v>
      </c>
      <c r="N7" s="8">
        <f>SUM(WagesBudget[Total])/26</f>
        <v>41238.807692307695</v>
      </c>
      <c r="O7" s="8">
        <f>SUMIFS(WagesBudget[Total],WagesBudget[Dept],$O$1)/26</f>
        <v>16978.461538461539</v>
      </c>
      <c r="P7" s="8">
        <f>SUMIFS(WagesBudget[Total],WagesBudget[Dept],P$1)/26</f>
        <v>4988.3461538461543</v>
      </c>
      <c r="Q7" s="8">
        <f>SUMIFS(WagesBudget[Total],WagesBudget[Dept],Q$1)/26</f>
        <v>14544.423076923076</v>
      </c>
      <c r="R7" s="8">
        <f>SUMIFS(WagesBudget[Total],WagesBudget[Dept],R$1)/26</f>
        <v>4727.5769230769229</v>
      </c>
      <c r="T7" s="9">
        <v>43800</v>
      </c>
      <c r="U7" s="4">
        <f t="shared" si="0"/>
        <v>2</v>
      </c>
      <c r="V7" s="8">
        <f t="shared" si="1"/>
        <v>82477.61538461539</v>
      </c>
    </row>
    <row r="8" spans="1:22" x14ac:dyDescent="0.25">
      <c r="A8" t="s">
        <v>12</v>
      </c>
      <c r="B8" t="s">
        <v>25</v>
      </c>
      <c r="C8" s="7">
        <v>53933</v>
      </c>
      <c r="D8" s="7">
        <f>ROUND(WagesBudget[[#This Row],[Base Salary]]/52*4*$K$2,0)</f>
        <v>726</v>
      </c>
      <c r="E8" s="7">
        <f>+WagesBudget[[#This Row],[AL Loading]]+WagesBudget[[#This Row],[Base Salary]]</f>
        <v>54659</v>
      </c>
      <c r="F8" s="7">
        <f>ROUND(+WagesBudget[[#This Row],[Total Salary]]*$K$3,0)</f>
        <v>5193</v>
      </c>
      <c r="G8" s="7">
        <f>ROUND(WagesBudget[[#This Row],[Total Salary]]*$K$4,0)</f>
        <v>1366</v>
      </c>
      <c r="H8" s="7">
        <f>SUM(WagesBudget[[#This Row],[Total Salary]:[Work Comp]])</f>
        <v>61218</v>
      </c>
      <c r="M8" s="9">
        <f t="shared" si="2"/>
        <v>43734</v>
      </c>
      <c r="N8" s="8">
        <f>SUM(WagesBudget[Total])/26</f>
        <v>41238.807692307695</v>
      </c>
      <c r="O8" s="8">
        <f>SUMIFS(WagesBudget[Total],WagesBudget[Dept],$O$1)/26</f>
        <v>16978.461538461539</v>
      </c>
      <c r="P8" s="8">
        <f>SUMIFS(WagesBudget[Total],WagesBudget[Dept],P$1)/26</f>
        <v>4988.3461538461543</v>
      </c>
      <c r="Q8" s="8">
        <f>SUMIFS(WagesBudget[Total],WagesBudget[Dept],Q$1)/26</f>
        <v>14544.423076923076</v>
      </c>
      <c r="R8" s="8">
        <f>SUMIFS(WagesBudget[Total],WagesBudget[Dept],R$1)/26</f>
        <v>4727.5769230769229</v>
      </c>
      <c r="T8" s="9">
        <v>43831</v>
      </c>
      <c r="U8" s="4">
        <f t="shared" si="0"/>
        <v>3</v>
      </c>
      <c r="V8" s="8">
        <f t="shared" si="1"/>
        <v>123716.42307692309</v>
      </c>
    </row>
    <row r="9" spans="1:22" x14ac:dyDescent="0.25">
      <c r="A9" t="s">
        <v>13</v>
      </c>
      <c r="B9" t="s">
        <v>25</v>
      </c>
      <c r="C9" s="7">
        <v>60330</v>
      </c>
      <c r="D9" s="7">
        <f>ROUND(WagesBudget[[#This Row],[Base Salary]]/52*4*$K$2,0)</f>
        <v>812</v>
      </c>
      <c r="E9" s="7">
        <f>+WagesBudget[[#This Row],[AL Loading]]+WagesBudget[[#This Row],[Base Salary]]</f>
        <v>61142</v>
      </c>
      <c r="F9" s="7">
        <f>ROUND(+WagesBudget[[#This Row],[Total Salary]]*$K$3,0)</f>
        <v>5808</v>
      </c>
      <c r="G9" s="7">
        <f>ROUND(WagesBudget[[#This Row],[Total Salary]]*$K$4,0)</f>
        <v>1529</v>
      </c>
      <c r="H9" s="7">
        <f>SUM(WagesBudget[[#This Row],[Total Salary]:[Work Comp]])</f>
        <v>68479</v>
      </c>
      <c r="M9" s="9">
        <f t="shared" si="2"/>
        <v>43748</v>
      </c>
      <c r="N9" s="8">
        <f>SUM(WagesBudget[Total])/26</f>
        <v>41238.807692307695</v>
      </c>
      <c r="O9" s="8">
        <f>SUMIFS(WagesBudget[Total],WagesBudget[Dept],$O$1)/26</f>
        <v>16978.461538461539</v>
      </c>
      <c r="P9" s="8">
        <f>SUMIFS(WagesBudget[Total],WagesBudget[Dept],P$1)/26</f>
        <v>4988.3461538461543</v>
      </c>
      <c r="Q9" s="8">
        <f>SUMIFS(WagesBudget[Total],WagesBudget[Dept],Q$1)/26</f>
        <v>14544.423076923076</v>
      </c>
      <c r="R9" s="8">
        <f>SUMIFS(WagesBudget[Total],WagesBudget[Dept],R$1)/26</f>
        <v>4727.5769230769229</v>
      </c>
      <c r="T9" s="9">
        <v>43862</v>
      </c>
      <c r="U9" s="4">
        <f t="shared" si="0"/>
        <v>2</v>
      </c>
      <c r="V9" s="8">
        <f t="shared" si="1"/>
        <v>82477.61538461539</v>
      </c>
    </row>
    <row r="10" spans="1:22" x14ac:dyDescent="0.25">
      <c r="A10" t="s">
        <v>14</v>
      </c>
      <c r="B10" t="s">
        <v>24</v>
      </c>
      <c r="C10" s="7">
        <v>61733</v>
      </c>
      <c r="D10" s="7">
        <f>ROUND(WagesBudget[[#This Row],[Base Salary]]/52*4*$K$2,0)</f>
        <v>831</v>
      </c>
      <c r="E10" s="7">
        <f>+WagesBudget[[#This Row],[AL Loading]]+WagesBudget[[#This Row],[Base Salary]]</f>
        <v>62564</v>
      </c>
      <c r="F10" s="7">
        <f>ROUND(+WagesBudget[[#This Row],[Total Salary]]*$K$3,0)</f>
        <v>5944</v>
      </c>
      <c r="G10" s="7">
        <f>ROUND(WagesBudget[[#This Row],[Total Salary]]*$K$4,0)</f>
        <v>1564</v>
      </c>
      <c r="H10" s="7">
        <f>SUM(WagesBudget[[#This Row],[Total Salary]:[Work Comp]])</f>
        <v>70072</v>
      </c>
      <c r="M10" s="9">
        <f t="shared" si="2"/>
        <v>43762</v>
      </c>
      <c r="N10" s="8">
        <f>SUM(WagesBudget[Total])/26</f>
        <v>41238.807692307695</v>
      </c>
      <c r="O10" s="8">
        <f>SUMIFS(WagesBudget[Total],WagesBudget[Dept],$O$1)/26</f>
        <v>16978.461538461539</v>
      </c>
      <c r="P10" s="8">
        <f>SUMIFS(WagesBudget[Total],WagesBudget[Dept],P$1)/26</f>
        <v>4988.3461538461543</v>
      </c>
      <c r="Q10" s="8">
        <f>SUMIFS(WagesBudget[Total],WagesBudget[Dept],Q$1)/26</f>
        <v>14544.423076923076</v>
      </c>
      <c r="R10" s="8">
        <f>SUMIFS(WagesBudget[Total],WagesBudget[Dept],R$1)/26</f>
        <v>4727.5769230769229</v>
      </c>
      <c r="T10" s="9">
        <v>43891</v>
      </c>
      <c r="U10" s="4">
        <f t="shared" si="0"/>
        <v>2</v>
      </c>
      <c r="V10" s="8">
        <f t="shared" si="1"/>
        <v>82477.61538461539</v>
      </c>
    </row>
    <row r="11" spans="1:22" x14ac:dyDescent="0.25">
      <c r="A11" t="s">
        <v>15</v>
      </c>
      <c r="B11" t="s">
        <v>24</v>
      </c>
      <c r="C11" s="7">
        <v>57891</v>
      </c>
      <c r="D11" s="7">
        <f>ROUND(WagesBudget[[#This Row],[Base Salary]]/52*4*$K$2,0)</f>
        <v>779</v>
      </c>
      <c r="E11" s="7">
        <f>+WagesBudget[[#This Row],[AL Loading]]+WagesBudget[[#This Row],[Base Salary]]</f>
        <v>58670</v>
      </c>
      <c r="F11" s="7">
        <f>ROUND(+WagesBudget[[#This Row],[Total Salary]]*$K$3,0)</f>
        <v>5574</v>
      </c>
      <c r="G11" s="7">
        <f>ROUND(WagesBudget[[#This Row],[Total Salary]]*$K$4,0)</f>
        <v>1467</v>
      </c>
      <c r="H11" s="7">
        <f>SUM(WagesBudget[[#This Row],[Total Salary]:[Work Comp]])</f>
        <v>65711</v>
      </c>
      <c r="M11" s="9">
        <f t="shared" si="2"/>
        <v>43776</v>
      </c>
      <c r="N11" s="8">
        <f>SUM(WagesBudget[Total])/26</f>
        <v>41238.807692307695</v>
      </c>
      <c r="O11" s="8">
        <f>SUMIFS(WagesBudget[Total],WagesBudget[Dept],$O$1)/26</f>
        <v>16978.461538461539</v>
      </c>
      <c r="P11" s="8">
        <f>SUMIFS(WagesBudget[Total],WagesBudget[Dept],P$1)/26</f>
        <v>4988.3461538461543</v>
      </c>
      <c r="Q11" s="8">
        <f>SUMIFS(WagesBudget[Total],WagesBudget[Dept],Q$1)/26</f>
        <v>14544.423076923076</v>
      </c>
      <c r="R11" s="8">
        <f>SUMIFS(WagesBudget[Total],WagesBudget[Dept],R$1)/26</f>
        <v>4727.5769230769229</v>
      </c>
      <c r="T11" s="9">
        <v>43922</v>
      </c>
      <c r="U11" s="4">
        <f t="shared" si="0"/>
        <v>2</v>
      </c>
      <c r="V11" s="8">
        <f t="shared" si="1"/>
        <v>82477.61538461539</v>
      </c>
    </row>
    <row r="12" spans="1:22" x14ac:dyDescent="0.25">
      <c r="A12" t="s">
        <v>16</v>
      </c>
      <c r="B12" t="s">
        <v>24</v>
      </c>
      <c r="C12" s="7">
        <v>70275</v>
      </c>
      <c r="D12" s="7">
        <f>ROUND(WagesBudget[[#This Row],[Base Salary]]/52*4*$K$2,0)</f>
        <v>946</v>
      </c>
      <c r="E12" s="7">
        <f>+WagesBudget[[#This Row],[AL Loading]]+WagesBudget[[#This Row],[Base Salary]]</f>
        <v>71221</v>
      </c>
      <c r="F12" s="7">
        <f>ROUND(+WagesBudget[[#This Row],[Total Salary]]*$K$3,0)</f>
        <v>6766</v>
      </c>
      <c r="G12" s="7">
        <f>ROUND(WagesBudget[[#This Row],[Total Salary]]*$K$4,0)</f>
        <v>1781</v>
      </c>
      <c r="H12" s="7">
        <f>SUM(WagesBudget[[#This Row],[Total Salary]:[Work Comp]])</f>
        <v>79768</v>
      </c>
      <c r="M12" s="9">
        <f t="shared" si="2"/>
        <v>43790</v>
      </c>
      <c r="N12" s="8">
        <f>SUM(WagesBudget[Total])/26</f>
        <v>41238.807692307695</v>
      </c>
      <c r="O12" s="8">
        <f>SUMIFS(WagesBudget[Total],WagesBudget[Dept],$O$1)/26</f>
        <v>16978.461538461539</v>
      </c>
      <c r="P12" s="8">
        <f>SUMIFS(WagesBudget[Total],WagesBudget[Dept],P$1)/26</f>
        <v>4988.3461538461543</v>
      </c>
      <c r="Q12" s="8">
        <f>SUMIFS(WagesBudget[Total],WagesBudget[Dept],Q$1)/26</f>
        <v>14544.423076923076</v>
      </c>
      <c r="R12" s="8">
        <f>SUMIFS(WagesBudget[Total],WagesBudget[Dept],R$1)/26</f>
        <v>4727.5769230769229</v>
      </c>
      <c r="T12" s="9">
        <v>43952</v>
      </c>
      <c r="U12" s="4">
        <f t="shared" si="0"/>
        <v>2</v>
      </c>
      <c r="V12" s="8">
        <f t="shared" si="1"/>
        <v>82477.61538461539</v>
      </c>
    </row>
    <row r="13" spans="1:22" x14ac:dyDescent="0.25">
      <c r="A13" t="s">
        <v>17</v>
      </c>
      <c r="B13" t="s">
        <v>24</v>
      </c>
      <c r="C13" s="7">
        <v>73260</v>
      </c>
      <c r="D13" s="7">
        <f>ROUND(WagesBudget[[#This Row],[Base Salary]]/52*4*$K$2,0)</f>
        <v>986</v>
      </c>
      <c r="E13" s="7">
        <f>+WagesBudget[[#This Row],[AL Loading]]+WagesBudget[[#This Row],[Base Salary]]</f>
        <v>74246</v>
      </c>
      <c r="F13" s="7">
        <f>ROUND(+WagesBudget[[#This Row],[Total Salary]]*$K$3,0)</f>
        <v>7053</v>
      </c>
      <c r="G13" s="7">
        <f>ROUND(WagesBudget[[#This Row],[Total Salary]]*$K$4,0)</f>
        <v>1856</v>
      </c>
      <c r="H13" s="7">
        <f>SUM(WagesBudget[[#This Row],[Total Salary]:[Work Comp]])</f>
        <v>83155</v>
      </c>
      <c r="M13" s="9">
        <f t="shared" si="2"/>
        <v>43804</v>
      </c>
      <c r="N13" s="8">
        <f>SUM(WagesBudget[Total])/26</f>
        <v>41238.807692307695</v>
      </c>
      <c r="O13" s="8">
        <f>SUMIFS(WagesBudget[Total],WagesBudget[Dept],$O$1)/26</f>
        <v>16978.461538461539</v>
      </c>
      <c r="P13" s="8">
        <f>SUMIFS(WagesBudget[Total],WagesBudget[Dept],P$1)/26</f>
        <v>4988.3461538461543</v>
      </c>
      <c r="Q13" s="8">
        <f>SUMIFS(WagesBudget[Total],WagesBudget[Dept],Q$1)/26</f>
        <v>14544.423076923076</v>
      </c>
      <c r="R13" s="8">
        <f>SUMIFS(WagesBudget[Total],WagesBudget[Dept],R$1)/26</f>
        <v>4727.5769230769229</v>
      </c>
      <c r="T13" s="9">
        <v>43983</v>
      </c>
      <c r="U13" s="4">
        <f t="shared" si="0"/>
        <v>2</v>
      </c>
      <c r="V13" s="8">
        <f t="shared" si="1"/>
        <v>82477.61538461539</v>
      </c>
    </row>
    <row r="14" spans="1:22" x14ac:dyDescent="0.25">
      <c r="A14" t="s">
        <v>18</v>
      </c>
      <c r="B14" t="s">
        <v>24</v>
      </c>
      <c r="C14" s="7">
        <v>69995</v>
      </c>
      <c r="D14" s="7">
        <f>ROUND(WagesBudget[[#This Row],[Base Salary]]/52*4*$K$2,0)</f>
        <v>942</v>
      </c>
      <c r="E14" s="7">
        <f>+WagesBudget[[#This Row],[AL Loading]]+WagesBudget[[#This Row],[Base Salary]]</f>
        <v>70937</v>
      </c>
      <c r="F14" s="7">
        <f>ROUND(+WagesBudget[[#This Row],[Total Salary]]*$K$3,0)</f>
        <v>6739</v>
      </c>
      <c r="G14" s="7">
        <f>ROUND(WagesBudget[[#This Row],[Total Salary]]*$K$4,0)</f>
        <v>1773</v>
      </c>
      <c r="H14" s="7">
        <f>SUM(WagesBudget[[#This Row],[Total Salary]:[Work Comp]])</f>
        <v>79449</v>
      </c>
      <c r="M14" s="9">
        <f t="shared" si="2"/>
        <v>43818</v>
      </c>
      <c r="N14" s="8">
        <f>SUM(WagesBudget[Total])/26</f>
        <v>41238.807692307695</v>
      </c>
      <c r="O14" s="8">
        <f>SUMIFS(WagesBudget[Total],WagesBudget[Dept],$O$1)/26</f>
        <v>16978.461538461539</v>
      </c>
      <c r="P14" s="8">
        <f>SUMIFS(WagesBudget[Total],WagesBudget[Dept],P$1)/26</f>
        <v>4988.3461538461543</v>
      </c>
      <c r="Q14" s="8">
        <f>SUMIFS(WagesBudget[Total],WagesBudget[Dept],Q$1)/26</f>
        <v>14544.423076923076</v>
      </c>
      <c r="R14" s="8">
        <f>SUMIFS(WagesBudget[Total],WagesBudget[Dept],R$1)/26</f>
        <v>4727.5769230769229</v>
      </c>
      <c r="U14" s="2">
        <f>SUM(U2:U13)</f>
        <v>26</v>
      </c>
      <c r="V14" s="13">
        <f>SUM(V2:V13)</f>
        <v>1072209</v>
      </c>
    </row>
    <row r="15" spans="1:22" x14ac:dyDescent="0.25">
      <c r="A15" t="s">
        <v>19</v>
      </c>
      <c r="B15" t="s">
        <v>27</v>
      </c>
      <c r="C15" s="7">
        <v>53010</v>
      </c>
      <c r="D15" s="7">
        <f>ROUND(WagesBudget[[#This Row],[Base Salary]]/52*4*$K$2,0)</f>
        <v>714</v>
      </c>
      <c r="E15" s="7">
        <f>+WagesBudget[[#This Row],[AL Loading]]+WagesBudget[[#This Row],[Base Salary]]</f>
        <v>53724</v>
      </c>
      <c r="F15" s="7">
        <f>ROUND(+WagesBudget[[#This Row],[Total Salary]]*$K$3,0)</f>
        <v>5104</v>
      </c>
      <c r="G15" s="7">
        <f>ROUND(WagesBudget[[#This Row],[Total Salary]]*$K$4,0)</f>
        <v>1343</v>
      </c>
      <c r="H15" s="7">
        <f>SUM(WagesBudget[[#This Row],[Total Salary]:[Work Comp]])</f>
        <v>60171</v>
      </c>
      <c r="M15" s="9">
        <f t="shared" si="2"/>
        <v>43832</v>
      </c>
      <c r="N15" s="8">
        <f>SUM(WagesBudget[Total])/26</f>
        <v>41238.807692307695</v>
      </c>
      <c r="O15" s="8">
        <f>SUMIFS(WagesBudget[Total],WagesBudget[Dept],$O$1)/26</f>
        <v>16978.461538461539</v>
      </c>
      <c r="P15" s="8">
        <f>SUMIFS(WagesBudget[Total],WagesBudget[Dept],P$1)/26</f>
        <v>4988.3461538461543</v>
      </c>
      <c r="Q15" s="8">
        <f>SUMIFS(WagesBudget[Total],WagesBudget[Dept],Q$1)/26</f>
        <v>14544.423076923076</v>
      </c>
      <c r="R15" s="8">
        <f>SUMIFS(WagesBudget[Total],WagesBudget[Dept],R$1)/26</f>
        <v>4727.5769230769229</v>
      </c>
    </row>
    <row r="16" spans="1:22" x14ac:dyDescent="0.25">
      <c r="A16" t="s">
        <v>20</v>
      </c>
      <c r="B16" t="s">
        <v>27</v>
      </c>
      <c r="C16" s="7">
        <v>55279</v>
      </c>
      <c r="D16" s="7">
        <f>ROUND(WagesBudget[[#This Row],[Base Salary]]/52*4*$K$2,0)</f>
        <v>744</v>
      </c>
      <c r="E16" s="7">
        <f>+WagesBudget[[#This Row],[AL Loading]]+WagesBudget[[#This Row],[Base Salary]]</f>
        <v>56023</v>
      </c>
      <c r="F16" s="7">
        <f>ROUND(+WagesBudget[[#This Row],[Total Salary]]*$K$3,0)</f>
        <v>5322</v>
      </c>
      <c r="G16" s="7">
        <f>ROUND(WagesBudget[[#This Row],[Total Salary]]*$K$4,0)</f>
        <v>1401</v>
      </c>
      <c r="H16" s="7">
        <f>SUM(WagesBudget[[#This Row],[Total Salary]:[Work Comp]])</f>
        <v>62746</v>
      </c>
      <c r="M16" s="9">
        <f t="shared" si="2"/>
        <v>43846</v>
      </c>
      <c r="N16" s="8">
        <f>SUM(WagesBudget[Total])/26</f>
        <v>41238.807692307695</v>
      </c>
      <c r="O16" s="8">
        <f>SUMIFS(WagesBudget[Total],WagesBudget[Dept],$O$1)/26</f>
        <v>16978.461538461539</v>
      </c>
      <c r="P16" s="8">
        <f>SUMIFS(WagesBudget[Total],WagesBudget[Dept],P$1)/26</f>
        <v>4988.3461538461543</v>
      </c>
      <c r="Q16" s="8">
        <f>SUMIFS(WagesBudget[Total],WagesBudget[Dept],Q$1)/26</f>
        <v>14544.423076923076</v>
      </c>
      <c r="R16" s="8">
        <f>SUMIFS(WagesBudget[Total],WagesBudget[Dept],R$1)/26</f>
        <v>4727.5769230769229</v>
      </c>
    </row>
    <row r="17" spans="8:18" x14ac:dyDescent="0.25">
      <c r="M17" s="9">
        <f t="shared" si="2"/>
        <v>43860</v>
      </c>
      <c r="N17" s="8">
        <f>SUM(WagesBudget[Total])/26</f>
        <v>41238.807692307695</v>
      </c>
      <c r="O17" s="8">
        <f>SUMIFS(WagesBudget[Total],WagesBudget[Dept],$O$1)/26</f>
        <v>16978.461538461539</v>
      </c>
      <c r="P17" s="8">
        <f>SUMIFS(WagesBudget[Total],WagesBudget[Dept],P$1)/26</f>
        <v>4988.3461538461543</v>
      </c>
      <c r="Q17" s="8">
        <f>SUMIFS(WagesBudget[Total],WagesBudget[Dept],Q$1)/26</f>
        <v>14544.423076923076</v>
      </c>
      <c r="R17" s="8">
        <f>SUMIFS(WagesBudget[Total],WagesBudget[Dept],R$1)/26</f>
        <v>4727.5769230769229</v>
      </c>
    </row>
    <row r="18" spans="8:18" x14ac:dyDescent="0.25">
      <c r="H18" s="15"/>
      <c r="M18" s="9">
        <f t="shared" si="2"/>
        <v>43874</v>
      </c>
      <c r="N18" s="8">
        <f>SUM(WagesBudget[Total])/26</f>
        <v>41238.807692307695</v>
      </c>
      <c r="O18" s="8">
        <f>SUMIFS(WagesBudget[Total],WagesBudget[Dept],$O$1)/26</f>
        <v>16978.461538461539</v>
      </c>
      <c r="P18" s="8">
        <f>SUMIFS(WagesBudget[Total],WagesBudget[Dept],P$1)/26</f>
        <v>4988.3461538461543</v>
      </c>
      <c r="Q18" s="8">
        <f>SUMIFS(WagesBudget[Total],WagesBudget[Dept],Q$1)/26</f>
        <v>14544.423076923076</v>
      </c>
      <c r="R18" s="8">
        <f>SUMIFS(WagesBudget[Total],WagesBudget[Dept],R$1)/26</f>
        <v>4727.5769230769229</v>
      </c>
    </row>
    <row r="19" spans="8:18" x14ac:dyDescent="0.25">
      <c r="M19" s="9">
        <f t="shared" si="2"/>
        <v>43888</v>
      </c>
      <c r="N19" s="8">
        <f>SUM(WagesBudget[Total])/26</f>
        <v>41238.807692307695</v>
      </c>
      <c r="O19" s="8">
        <f>SUMIFS(WagesBudget[Total],WagesBudget[Dept],$O$1)/26</f>
        <v>16978.461538461539</v>
      </c>
      <c r="P19" s="8">
        <f>SUMIFS(WagesBudget[Total],WagesBudget[Dept],P$1)/26</f>
        <v>4988.3461538461543</v>
      </c>
      <c r="Q19" s="8">
        <f>SUMIFS(WagesBudget[Total],WagesBudget[Dept],Q$1)/26</f>
        <v>14544.423076923076</v>
      </c>
      <c r="R19" s="8">
        <f>SUMIFS(WagesBudget[Total],WagesBudget[Dept],R$1)/26</f>
        <v>4727.5769230769229</v>
      </c>
    </row>
    <row r="20" spans="8:18" x14ac:dyDescent="0.25">
      <c r="M20" s="9">
        <f t="shared" si="2"/>
        <v>43902</v>
      </c>
      <c r="N20" s="8">
        <f>SUM(WagesBudget[Total])/26</f>
        <v>41238.807692307695</v>
      </c>
      <c r="O20" s="8">
        <f>SUMIFS(WagesBudget[Total],WagesBudget[Dept],$O$1)/26</f>
        <v>16978.461538461539</v>
      </c>
      <c r="P20" s="8">
        <f>SUMIFS(WagesBudget[Total],WagesBudget[Dept],P$1)/26</f>
        <v>4988.3461538461543</v>
      </c>
      <c r="Q20" s="8">
        <f>SUMIFS(WagesBudget[Total],WagesBudget[Dept],Q$1)/26</f>
        <v>14544.423076923076</v>
      </c>
      <c r="R20" s="8">
        <f>SUMIFS(WagesBudget[Total],WagesBudget[Dept],R$1)/26</f>
        <v>4727.5769230769229</v>
      </c>
    </row>
    <row r="21" spans="8:18" x14ac:dyDescent="0.25">
      <c r="M21" s="9">
        <f t="shared" si="2"/>
        <v>43916</v>
      </c>
      <c r="N21" s="8">
        <f>SUM(WagesBudget[Total])/26</f>
        <v>41238.807692307695</v>
      </c>
      <c r="O21" s="8">
        <f>SUMIFS(WagesBudget[Total],WagesBudget[Dept],$O$1)/26</f>
        <v>16978.461538461539</v>
      </c>
      <c r="P21" s="8">
        <f>SUMIFS(WagesBudget[Total],WagesBudget[Dept],P$1)/26</f>
        <v>4988.3461538461543</v>
      </c>
      <c r="Q21" s="8">
        <f>SUMIFS(WagesBudget[Total],WagesBudget[Dept],Q$1)/26</f>
        <v>14544.423076923076</v>
      </c>
      <c r="R21" s="8">
        <f>SUMIFS(WagesBudget[Total],WagesBudget[Dept],R$1)/26</f>
        <v>4727.5769230769229</v>
      </c>
    </row>
    <row r="22" spans="8:18" x14ac:dyDescent="0.25">
      <c r="M22" s="9">
        <f t="shared" si="2"/>
        <v>43930</v>
      </c>
      <c r="N22" s="8">
        <f>SUM(WagesBudget[Total])/26</f>
        <v>41238.807692307695</v>
      </c>
      <c r="O22" s="8">
        <f>SUMIFS(WagesBudget[Total],WagesBudget[Dept],$O$1)/26</f>
        <v>16978.461538461539</v>
      </c>
      <c r="P22" s="8">
        <f>SUMIFS(WagesBudget[Total],WagesBudget[Dept],P$1)/26</f>
        <v>4988.3461538461543</v>
      </c>
      <c r="Q22" s="8">
        <f>SUMIFS(WagesBudget[Total],WagesBudget[Dept],Q$1)/26</f>
        <v>14544.423076923076</v>
      </c>
      <c r="R22" s="8">
        <f>SUMIFS(WagesBudget[Total],WagesBudget[Dept],R$1)/26</f>
        <v>4727.5769230769229</v>
      </c>
    </row>
    <row r="23" spans="8:18" x14ac:dyDescent="0.25">
      <c r="M23" s="9">
        <f t="shared" si="2"/>
        <v>43944</v>
      </c>
      <c r="N23" s="8">
        <f>SUM(WagesBudget[Total])/26</f>
        <v>41238.807692307695</v>
      </c>
      <c r="O23" s="8">
        <f>SUMIFS(WagesBudget[Total],WagesBudget[Dept],$O$1)/26</f>
        <v>16978.461538461539</v>
      </c>
      <c r="P23" s="8">
        <f>SUMIFS(WagesBudget[Total],WagesBudget[Dept],P$1)/26</f>
        <v>4988.3461538461543</v>
      </c>
      <c r="Q23" s="8">
        <f>SUMIFS(WagesBudget[Total],WagesBudget[Dept],Q$1)/26</f>
        <v>14544.423076923076</v>
      </c>
      <c r="R23" s="8">
        <f>SUMIFS(WagesBudget[Total],WagesBudget[Dept],R$1)/26</f>
        <v>4727.5769230769229</v>
      </c>
    </row>
    <row r="24" spans="8:18" x14ac:dyDescent="0.25">
      <c r="M24" s="9">
        <f t="shared" si="2"/>
        <v>43958</v>
      </c>
      <c r="N24" s="8">
        <f>SUM(WagesBudget[Total])/26</f>
        <v>41238.807692307695</v>
      </c>
      <c r="O24" s="8">
        <f>SUMIFS(WagesBudget[Total],WagesBudget[Dept],$O$1)/26</f>
        <v>16978.461538461539</v>
      </c>
      <c r="P24" s="8">
        <f>SUMIFS(WagesBudget[Total],WagesBudget[Dept],P$1)/26</f>
        <v>4988.3461538461543</v>
      </c>
      <c r="Q24" s="8">
        <f>SUMIFS(WagesBudget[Total],WagesBudget[Dept],Q$1)/26</f>
        <v>14544.423076923076</v>
      </c>
      <c r="R24" s="8">
        <f>SUMIFS(WagesBudget[Total],WagesBudget[Dept],R$1)/26</f>
        <v>4727.5769230769229</v>
      </c>
    </row>
    <row r="25" spans="8:18" x14ac:dyDescent="0.25">
      <c r="M25" s="9">
        <f t="shared" si="2"/>
        <v>43972</v>
      </c>
      <c r="N25" s="8">
        <f>SUM(WagesBudget[Total])/26</f>
        <v>41238.807692307695</v>
      </c>
      <c r="O25" s="8">
        <f>SUMIFS(WagesBudget[Total],WagesBudget[Dept],$O$1)/26</f>
        <v>16978.461538461539</v>
      </c>
      <c r="P25" s="8">
        <f>SUMIFS(WagesBudget[Total],WagesBudget[Dept],P$1)/26</f>
        <v>4988.3461538461543</v>
      </c>
      <c r="Q25" s="8">
        <f>SUMIFS(WagesBudget[Total],WagesBudget[Dept],Q$1)/26</f>
        <v>14544.423076923076</v>
      </c>
      <c r="R25" s="8">
        <f>SUMIFS(WagesBudget[Total],WagesBudget[Dept],R$1)/26</f>
        <v>4727.5769230769229</v>
      </c>
    </row>
    <row r="26" spans="8:18" x14ac:dyDescent="0.25">
      <c r="M26" s="9">
        <f t="shared" si="2"/>
        <v>43986</v>
      </c>
      <c r="N26" s="8">
        <f>SUM(WagesBudget[Total])/26</f>
        <v>41238.807692307695</v>
      </c>
      <c r="O26" s="8">
        <f>SUMIFS(WagesBudget[Total],WagesBudget[Dept],$O$1)/26</f>
        <v>16978.461538461539</v>
      </c>
      <c r="P26" s="8">
        <f>SUMIFS(WagesBudget[Total],WagesBudget[Dept],P$1)/26</f>
        <v>4988.3461538461543</v>
      </c>
      <c r="Q26" s="8">
        <f>SUMIFS(WagesBudget[Total],WagesBudget[Dept],Q$1)/26</f>
        <v>14544.423076923076</v>
      </c>
      <c r="R26" s="8">
        <f>SUMIFS(WagesBudget[Total],WagesBudget[Dept],R$1)/26</f>
        <v>4727.5769230769229</v>
      </c>
    </row>
    <row r="27" spans="8:18" x14ac:dyDescent="0.25">
      <c r="M27" s="9">
        <f t="shared" si="2"/>
        <v>44000</v>
      </c>
      <c r="N27" s="8">
        <f>SUM(WagesBudget[Total])/26</f>
        <v>41238.807692307695</v>
      </c>
      <c r="O27" s="8">
        <f>SUMIFS(WagesBudget[Total],WagesBudget[Dept],$O$1)/26</f>
        <v>16978.461538461539</v>
      </c>
      <c r="P27" s="8">
        <f>SUMIFS(WagesBudget[Total],WagesBudget[Dept],P$1)/26</f>
        <v>4988.3461538461543</v>
      </c>
      <c r="Q27" s="8">
        <f>SUMIFS(WagesBudget[Total],WagesBudget[Dept],Q$1)/26</f>
        <v>14544.423076923076</v>
      </c>
      <c r="R27" s="8">
        <f>SUMIFS(WagesBudget[Total],WagesBudget[Dept],R$1)/26</f>
        <v>4727.5769230769229</v>
      </c>
    </row>
    <row r="28" spans="8:18" x14ac:dyDescent="0.25">
      <c r="M28" s="12" t="s">
        <v>29</v>
      </c>
      <c r="N28" s="13">
        <f>SUM(N2:N27)</f>
        <v>1072209.0000000007</v>
      </c>
      <c r="O28" s="13">
        <f>SUM(O2:O27)</f>
        <v>441440.00000000017</v>
      </c>
      <c r="P28" s="13">
        <f t="shared" ref="P28:R28" si="3">SUM(P2:P27)</f>
        <v>129697.00000000004</v>
      </c>
      <c r="Q28" s="13">
        <f t="shared" si="3"/>
        <v>378154.99999999977</v>
      </c>
      <c r="R28" s="13">
        <f t="shared" si="3"/>
        <v>122916.99999999999</v>
      </c>
    </row>
    <row r="29" spans="8:18" x14ac:dyDescent="0.25">
      <c r="M29" s="12" t="s">
        <v>34</v>
      </c>
      <c r="N29" s="13">
        <f>SUM(WagesBudget[Total])</f>
        <v>1072209</v>
      </c>
      <c r="O29" s="13">
        <f>SUMIFS(WagesBudget[Total],WagesBudget[Dept],O1)</f>
        <v>441440</v>
      </c>
      <c r="P29" s="13">
        <f>SUMIFS(WagesBudget[Total],WagesBudget[Dept],P1)</f>
        <v>129697</v>
      </c>
      <c r="Q29" s="13">
        <f>SUMIFS(WagesBudget[Total],WagesBudget[Dept],Q1)</f>
        <v>378155</v>
      </c>
      <c r="R29" s="13">
        <f>SUMIFS(WagesBudget[Total],WagesBudget[Dept],R1)</f>
        <v>122917</v>
      </c>
    </row>
    <row r="30" spans="8:18" x14ac:dyDescent="0.25">
      <c r="M30" s="11"/>
    </row>
    <row r="31" spans="8:18" x14ac:dyDescent="0.25">
      <c r="M31" s="11"/>
    </row>
    <row r="32" spans="8:18" x14ac:dyDescent="0.25">
      <c r="M32" s="11"/>
    </row>
    <row r="33" spans="13:13" x14ac:dyDescent="0.25">
      <c r="M33" s="11"/>
    </row>
    <row r="34" spans="13:13" x14ac:dyDescent="0.25">
      <c r="M34" s="11"/>
    </row>
    <row r="35" spans="13:13" x14ac:dyDescent="0.25">
      <c r="M35" s="11"/>
    </row>
    <row r="36" spans="13:13" x14ac:dyDescent="0.25">
      <c r="M36" s="11"/>
    </row>
    <row r="37" spans="13:13" x14ac:dyDescent="0.25">
      <c r="M37" s="11"/>
    </row>
    <row r="38" spans="13:13" x14ac:dyDescent="0.25">
      <c r="M38" s="11"/>
    </row>
    <row r="39" spans="13:13" x14ac:dyDescent="0.25">
      <c r="M39" s="11"/>
    </row>
    <row r="40" spans="13:13" x14ac:dyDescent="0.25">
      <c r="M40" s="11"/>
    </row>
    <row r="41" spans="13:13" x14ac:dyDescent="0.25">
      <c r="M41" s="11"/>
    </row>
    <row r="42" spans="13:13" x14ac:dyDescent="0.25">
      <c r="M42" s="11"/>
    </row>
    <row r="43" spans="13:13" x14ac:dyDescent="0.25">
      <c r="M43" s="11"/>
    </row>
    <row r="44" spans="13:13" x14ac:dyDescent="0.25">
      <c r="M44" s="11"/>
    </row>
    <row r="45" spans="13:13" x14ac:dyDescent="0.25">
      <c r="M45" s="11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1A27E-3679-4D70-9EC6-05E16A0FF546}">
  <dimension ref="A1:AD45"/>
  <sheetViews>
    <sheetView showGridLines="0" tabSelected="1" zoomScale="115" zoomScaleNormal="115" workbookViewId="0">
      <selection activeCell="P2" sqref="P2"/>
    </sheetView>
  </sheetViews>
  <sheetFormatPr defaultRowHeight="15" x14ac:dyDescent="0.25"/>
  <cols>
    <col min="1" max="1" width="12.85546875" bestFit="1" customWidth="1"/>
    <col min="2" max="2" width="14.42578125" bestFit="1" customWidth="1"/>
    <col min="3" max="3" width="13" customWidth="1"/>
    <col min="4" max="4" width="12.5703125" customWidth="1"/>
    <col min="5" max="5" width="13.28515625" customWidth="1"/>
    <col min="6" max="6" width="7.28515625" bestFit="1" customWidth="1"/>
    <col min="7" max="7" width="13.7109375" bestFit="1" customWidth="1"/>
    <col min="8" max="8" width="10.140625" customWidth="1"/>
    <col min="9" max="9" width="12" bestFit="1" customWidth="1"/>
    <col min="10" max="10" width="11.85546875" bestFit="1" customWidth="1"/>
    <col min="11" max="11" width="3.7109375" customWidth="1"/>
    <col min="12" max="12" width="16.28515625" hidden="1" customWidth="1"/>
    <col min="13" max="13" width="13.140625" hidden="1" customWidth="1"/>
    <col min="14" max="14" width="2.85546875" customWidth="1"/>
    <col min="15" max="15" width="14.5703125" customWidth="1"/>
    <col min="16" max="16" width="15.140625" bestFit="1" customWidth="1"/>
    <col min="17" max="17" width="10.7109375" bestFit="1" customWidth="1"/>
    <col min="18" max="18" width="16" customWidth="1"/>
    <col min="19" max="19" width="10.7109375" customWidth="1"/>
    <col min="20" max="20" width="11.5703125" bestFit="1" customWidth="1"/>
    <col min="21" max="21" width="2.85546875" customWidth="1"/>
    <col min="22" max="22" width="11.28515625" customWidth="1"/>
    <col min="23" max="23" width="10.5703125" customWidth="1"/>
    <col min="24" max="24" width="15.140625" customWidth="1"/>
    <col min="26" max="26" width="82.85546875" customWidth="1"/>
  </cols>
  <sheetData>
    <row r="1" spans="1: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39</v>
      </c>
      <c r="H1" s="1" t="s">
        <v>29</v>
      </c>
      <c r="I1" s="1" t="s">
        <v>42</v>
      </c>
      <c r="J1" s="1" t="s">
        <v>43</v>
      </c>
      <c r="L1" s="2" t="s">
        <v>22</v>
      </c>
      <c r="M1" s="3" t="s">
        <v>23</v>
      </c>
      <c r="O1" s="2" t="s">
        <v>33</v>
      </c>
      <c r="P1" s="3" t="s">
        <v>36</v>
      </c>
      <c r="Q1" s="3" t="s">
        <v>26</v>
      </c>
      <c r="R1" s="3" t="s">
        <v>25</v>
      </c>
      <c r="S1" s="3" t="s">
        <v>24</v>
      </c>
      <c r="T1" s="3" t="s">
        <v>27</v>
      </c>
      <c r="V1" s="2" t="s">
        <v>31</v>
      </c>
      <c r="W1" s="2" t="s">
        <v>32</v>
      </c>
      <c r="X1" s="2" t="s">
        <v>36</v>
      </c>
    </row>
    <row r="2" spans="1:30" x14ac:dyDescent="0.25">
      <c r="A2" t="s">
        <v>6</v>
      </c>
      <c r="B2" t="s">
        <v>26</v>
      </c>
      <c r="C2" s="7">
        <v>65436</v>
      </c>
      <c r="D2" s="7">
        <f>ROUND(WagesForecast[[#This Row],[Base Salary]]/52*4*$M$2,0)</f>
        <v>881</v>
      </c>
      <c r="E2" s="7">
        <f>+WagesForecast[[#This Row],[AL Loading]]+WagesForecast[[#This Row],[Base Salary]]</f>
        <v>66317</v>
      </c>
      <c r="F2" s="7">
        <f>ROUND(+WagesForecast[[#This Row],[Total Salary]]*$M$3,0)</f>
        <v>6300</v>
      </c>
      <c r="G2" s="7">
        <f>ROUND(WagesForecast[[#This Row],[Total Salary]]*$M$4,0)</f>
        <v>1658</v>
      </c>
      <c r="H2" s="7">
        <f>SUM(WagesForecast[[#This Row],[Total Salary]:[Work Comp]])</f>
        <v>74275</v>
      </c>
      <c r="I2" s="14">
        <v>40787</v>
      </c>
      <c r="J2" s="14"/>
      <c r="L2" s="4" t="s">
        <v>28</v>
      </c>
      <c r="M2" s="5">
        <v>0.17499999999999999</v>
      </c>
      <c r="O2" s="9">
        <f>+M5</f>
        <v>43651</v>
      </c>
      <c r="P2" s="8">
        <f>SUMPRODUCT(Total*(Start&lt;=$O2)*((End&gt;=$O2)+(End="")))/26</f>
        <v>41238.807692307695</v>
      </c>
      <c r="Q2" s="8">
        <f>SUMPRODUCT(Total*(Start&lt;=$O2)*(Dept=Q$1)*((End&gt;=$O2)+(End="")))/26</f>
        <v>16978.461538461539</v>
      </c>
      <c r="R2" s="8">
        <f>SUMPRODUCT(Total*(Start&lt;=$O2)*(Dept=R$1)*((End&gt;=$O2)+(End="")))/26</f>
        <v>4988.3461538461543</v>
      </c>
      <c r="S2" s="8">
        <f>SUMPRODUCT(Total*(Start&lt;=$O2)*(Dept=S$1)*((End&gt;=$O2)+(End="")))/26</f>
        <v>14544.423076923076</v>
      </c>
      <c r="T2" s="8">
        <f>SUMPRODUCT(Total*(Start&lt;=$O2)*(Dept=T$1)*((End&gt;=$O2)+(End="")))/26</f>
        <v>4727.5769230769229</v>
      </c>
      <c r="V2" s="9">
        <v>43647</v>
      </c>
      <c r="W2" s="4">
        <f t="shared" ref="W2:W13" si="0">COUNTIFS($O$2:$O$27,"&gt;="&amp;V2,$O$2:$O$27,"&lt;="&amp;EOMONTH(V2,0))</f>
        <v>2</v>
      </c>
      <c r="X2" s="8">
        <f t="shared" ref="X2:X13" si="1">SUMIFS(P$2:P$27,$O$2:$O$27,"&gt;="&amp;$V2,$O$2:$O$27,"&lt;="&amp;EOMONTH($V2,0))</f>
        <v>82477.61538461539</v>
      </c>
      <c r="Z2">
        <f t="shared" ref="Z2:Z27" si="2">(SUMIFS(Total,Start,"&lt;="&amp;O2,End,"&gt;="&amp;O2)+SUMIFS(Total,Start,"&lt;="&amp;O2,End,""))/26</f>
        <v>41238.807692307695</v>
      </c>
      <c r="AB2" t="b">
        <v>0</v>
      </c>
      <c r="AC2" t="b">
        <v>0</v>
      </c>
      <c r="AD2">
        <f>+AB2+AC2</f>
        <v>0</v>
      </c>
    </row>
    <row r="3" spans="1:30" x14ac:dyDescent="0.25">
      <c r="A3" t="s">
        <v>7</v>
      </c>
      <c r="B3" t="s">
        <v>26</v>
      </c>
      <c r="C3" s="7">
        <v>58931</v>
      </c>
      <c r="D3" s="7">
        <f>ROUND(WagesForecast[[#This Row],[Base Salary]]/52*4*$M$2,0)</f>
        <v>793</v>
      </c>
      <c r="E3" s="7">
        <f>+WagesForecast[[#This Row],[AL Loading]]+WagesForecast[[#This Row],[Base Salary]]</f>
        <v>59724</v>
      </c>
      <c r="F3" s="7">
        <f>ROUND(+WagesForecast[[#This Row],[Total Salary]]*$M$3,0)</f>
        <v>5674</v>
      </c>
      <c r="G3" s="7">
        <f>ROUND(WagesForecast[[#This Row],[Total Salary]]*$M$4,0)</f>
        <v>1493</v>
      </c>
      <c r="H3" s="7">
        <f>SUM(WagesForecast[[#This Row],[Total Salary]:[Work Comp]])</f>
        <v>66891</v>
      </c>
      <c r="I3" s="14">
        <v>41678</v>
      </c>
      <c r="J3" s="14"/>
      <c r="L3" s="4" t="s">
        <v>21</v>
      </c>
      <c r="M3" s="5">
        <v>9.5000000000000001E-2</v>
      </c>
      <c r="O3" s="9">
        <f>+O2+14</f>
        <v>43665</v>
      </c>
      <c r="P3" s="8">
        <f>SUMPRODUCT(Total*(Start&lt;=$O3)*((End&gt;=$O3)+(End="")))/26</f>
        <v>41238.807692307695</v>
      </c>
      <c r="Q3" s="8">
        <f>SUMPRODUCT(Total*(Start&lt;=$O3)*(Dept=Q$1)*((End&gt;=$O3)+(End="")))/26</f>
        <v>16978.461538461539</v>
      </c>
      <c r="R3" s="8">
        <f>SUMPRODUCT(Total*(Start&lt;=$O3)*(Dept=R$1)*((End&gt;=$O3)+(End="")))/26</f>
        <v>4988.3461538461543</v>
      </c>
      <c r="S3" s="8">
        <f>SUMPRODUCT(Total*(Start&lt;=$O3)*(Dept=S$1)*((End&gt;=$O3)+(End="")))/26</f>
        <v>14544.423076923076</v>
      </c>
      <c r="T3" s="8">
        <f>SUMPRODUCT(Total*(Start&lt;=$O3)*(Dept=T$1)*((End&gt;=$O3)+(End="")))/26</f>
        <v>4727.5769230769229</v>
      </c>
      <c r="V3" s="9">
        <v>43678</v>
      </c>
      <c r="W3" s="4">
        <f t="shared" si="0"/>
        <v>3</v>
      </c>
      <c r="X3" s="8">
        <f t="shared" si="1"/>
        <v>120383</v>
      </c>
      <c r="Z3">
        <f t="shared" si="2"/>
        <v>41238.807692307695</v>
      </c>
      <c r="AB3" t="b">
        <v>1</v>
      </c>
      <c r="AC3" t="b">
        <v>0</v>
      </c>
      <c r="AD3">
        <f t="shared" ref="AD3:AD4" si="3">+AB3+AC3</f>
        <v>1</v>
      </c>
    </row>
    <row r="4" spans="1:30" x14ac:dyDescent="0.25">
      <c r="A4" t="s">
        <v>8</v>
      </c>
      <c r="B4" t="s">
        <v>26</v>
      </c>
      <c r="C4" s="7">
        <v>62118</v>
      </c>
      <c r="D4" s="7">
        <f>ROUND(WagesForecast[[#This Row],[Base Salary]]/52*4*$M$2,0)</f>
        <v>836</v>
      </c>
      <c r="E4" s="7">
        <f>+WagesForecast[[#This Row],[AL Loading]]+WagesForecast[[#This Row],[Base Salary]]</f>
        <v>62954</v>
      </c>
      <c r="F4" s="7">
        <f>ROUND(+WagesForecast[[#This Row],[Total Salary]]*$M$3,0)</f>
        <v>5981</v>
      </c>
      <c r="G4" s="7">
        <f>ROUND(WagesForecast[[#This Row],[Total Salary]]*$M$4,0)</f>
        <v>1574</v>
      </c>
      <c r="H4" s="7">
        <f>SUM(WagesForecast[[#This Row],[Total Salary]:[Work Comp]])</f>
        <v>70509</v>
      </c>
      <c r="I4" s="14">
        <v>40523</v>
      </c>
      <c r="J4" s="14">
        <v>43677</v>
      </c>
      <c r="L4" s="4" t="s">
        <v>40</v>
      </c>
      <c r="M4" s="6">
        <v>2.5000000000000001E-2</v>
      </c>
      <c r="O4" s="9">
        <f t="shared" ref="O4:O27" si="4">+O3+14</f>
        <v>43679</v>
      </c>
      <c r="P4" s="8">
        <f>SUMPRODUCT(Total*(Start&lt;=$O4)*((End&gt;=$O4)+(End="")))/26</f>
        <v>38526.923076923078</v>
      </c>
      <c r="Q4" s="8">
        <f>SUMPRODUCT(Total*(Start&lt;=$O4)*(Dept=Q$1)*((End&gt;=$O4)+(End="")))/26</f>
        <v>14266.576923076924</v>
      </c>
      <c r="R4" s="8">
        <f>SUMPRODUCT(Total*(Start&lt;=$O4)*(Dept=R$1)*((End&gt;=$O4)+(End="")))/26</f>
        <v>4988.3461538461543</v>
      </c>
      <c r="S4" s="8">
        <f>SUMPRODUCT(Total*(Start&lt;=$O4)*(Dept=S$1)*((End&gt;=$O4)+(End="")))/26</f>
        <v>14544.423076923076</v>
      </c>
      <c r="T4" s="8">
        <f>SUMPRODUCT(Total*(Start&lt;=$O4)*(Dept=T$1)*((End&gt;=$O4)+(End="")))/26</f>
        <v>4727.5769230769229</v>
      </c>
      <c r="V4" s="9">
        <v>43709</v>
      </c>
      <c r="W4" s="4">
        <f t="shared" si="0"/>
        <v>2</v>
      </c>
      <c r="X4" s="8">
        <f t="shared" si="1"/>
        <v>82476.769230769234</v>
      </c>
      <c r="Z4">
        <f t="shared" si="2"/>
        <v>38526.923076923078</v>
      </c>
      <c r="AB4" t="b">
        <v>0</v>
      </c>
      <c r="AC4" t="b">
        <v>1</v>
      </c>
      <c r="AD4">
        <f t="shared" si="3"/>
        <v>1</v>
      </c>
    </row>
    <row r="5" spans="1:30" x14ac:dyDescent="0.25">
      <c r="A5" t="s">
        <v>9</v>
      </c>
      <c r="B5" t="s">
        <v>26</v>
      </c>
      <c r="C5" s="7">
        <v>72267</v>
      </c>
      <c r="D5" s="7">
        <f>ROUND(WagesForecast[[#This Row],[Base Salary]]/52*4*$M$2,0)</f>
        <v>973</v>
      </c>
      <c r="E5" s="7">
        <f>+WagesForecast[[#This Row],[AL Loading]]+WagesForecast[[#This Row],[Base Salary]]</f>
        <v>73240</v>
      </c>
      <c r="F5" s="7">
        <f>ROUND(+WagesForecast[[#This Row],[Total Salary]]*$M$3,0)</f>
        <v>6958</v>
      </c>
      <c r="G5" s="7">
        <f>ROUND(WagesForecast[[#This Row],[Total Salary]]*$M$4,0)</f>
        <v>1831</v>
      </c>
      <c r="H5" s="7">
        <f>SUM(WagesForecast[[#This Row],[Total Salary]:[Work Comp]])</f>
        <v>82029</v>
      </c>
      <c r="I5" s="14">
        <v>42103</v>
      </c>
      <c r="J5" s="14"/>
      <c r="L5" s="4" t="s">
        <v>30</v>
      </c>
      <c r="M5" s="10">
        <v>43651</v>
      </c>
      <c r="O5" s="9">
        <f t="shared" si="4"/>
        <v>43693</v>
      </c>
      <c r="P5" s="8">
        <f>SUMPRODUCT(Total*(Start&lt;=$O5)*((End&gt;=$O5)+(End="")))/26</f>
        <v>40928.038461538461</v>
      </c>
      <c r="Q5" s="8">
        <f>SUMPRODUCT(Total*(Start&lt;=$O5)*(Dept=Q$1)*((End&gt;=$O5)+(End="")))/26</f>
        <v>16667.692307692309</v>
      </c>
      <c r="R5" s="8">
        <f>SUMPRODUCT(Total*(Start&lt;=$O5)*(Dept=R$1)*((End&gt;=$O5)+(End="")))/26</f>
        <v>4988.3461538461543</v>
      </c>
      <c r="S5" s="8">
        <f>SUMPRODUCT(Total*(Start&lt;=$O5)*(Dept=S$1)*((End&gt;=$O5)+(End="")))/26</f>
        <v>14544.423076923076</v>
      </c>
      <c r="T5" s="8">
        <f>SUMPRODUCT(Total*(Start&lt;=$O5)*(Dept=T$1)*((End&gt;=$O5)+(End="")))/26</f>
        <v>4727.5769230769229</v>
      </c>
      <c r="V5" s="9">
        <v>43739</v>
      </c>
      <c r="W5" s="4">
        <f t="shared" si="0"/>
        <v>2</v>
      </c>
      <c r="X5" s="8">
        <f t="shared" si="1"/>
        <v>82476.769230769234</v>
      </c>
      <c r="Z5">
        <f t="shared" si="2"/>
        <v>40928.038461538461</v>
      </c>
    </row>
    <row r="6" spans="1:30" x14ac:dyDescent="0.25">
      <c r="A6" t="s">
        <v>10</v>
      </c>
      <c r="B6" t="s">
        <v>26</v>
      </c>
      <c r="C6" s="7">
        <v>67102</v>
      </c>
      <c r="D6" s="7">
        <f>ROUND(WagesForecast[[#This Row],[Base Salary]]/52*4*$M$2,0)</f>
        <v>903</v>
      </c>
      <c r="E6" s="7">
        <f>+WagesForecast[[#This Row],[AL Loading]]+WagesForecast[[#This Row],[Base Salary]]</f>
        <v>68005</v>
      </c>
      <c r="F6" s="7">
        <f>ROUND(+WagesForecast[[#This Row],[Total Salary]]*$M$3,0)</f>
        <v>6460</v>
      </c>
      <c r="G6" s="7">
        <f>ROUND(WagesForecast[[#This Row],[Total Salary]]*$M$4,0)</f>
        <v>1700</v>
      </c>
      <c r="H6" s="7">
        <f>SUM(WagesForecast[[#This Row],[Total Salary]:[Work Comp]])</f>
        <v>76165</v>
      </c>
      <c r="I6" s="14">
        <v>40130</v>
      </c>
      <c r="J6" s="14"/>
      <c r="O6" s="9">
        <f t="shared" si="4"/>
        <v>43707</v>
      </c>
      <c r="P6" s="8">
        <f>SUMPRODUCT(Total*(Start&lt;=$O6)*((End&gt;=$O6)+(End="")))/26</f>
        <v>40928.038461538461</v>
      </c>
      <c r="Q6" s="8">
        <f>SUMPRODUCT(Total*(Start&lt;=$O6)*(Dept=Q$1)*((End&gt;=$O6)+(End="")))/26</f>
        <v>16667.692307692309</v>
      </c>
      <c r="R6" s="8">
        <f>SUMPRODUCT(Total*(Start&lt;=$O6)*(Dept=R$1)*((End&gt;=$O6)+(End="")))/26</f>
        <v>4988.3461538461543</v>
      </c>
      <c r="S6" s="8">
        <f>SUMPRODUCT(Total*(Start&lt;=$O6)*(Dept=S$1)*((End&gt;=$O6)+(End="")))/26</f>
        <v>14544.423076923076</v>
      </c>
      <c r="T6" s="8">
        <f>SUMPRODUCT(Total*(Start&lt;=$O6)*(Dept=T$1)*((End&gt;=$O6)+(End="")))/26</f>
        <v>4727.5769230769229</v>
      </c>
      <c r="V6" s="9">
        <v>43770</v>
      </c>
      <c r="W6" s="4">
        <f t="shared" si="0"/>
        <v>2</v>
      </c>
      <c r="X6" s="8">
        <f t="shared" si="1"/>
        <v>82476.769230769234</v>
      </c>
      <c r="Z6">
        <f t="shared" si="2"/>
        <v>40928.038461538461</v>
      </c>
    </row>
    <row r="7" spans="1:30" x14ac:dyDescent="0.25">
      <c r="A7" t="s">
        <v>11</v>
      </c>
      <c r="B7" t="s">
        <v>26</v>
      </c>
      <c r="C7" s="7">
        <v>63053</v>
      </c>
      <c r="D7" s="7">
        <f>ROUND(WagesForecast[[#This Row],[Base Salary]]/52*4*$M$2,0)</f>
        <v>849</v>
      </c>
      <c r="E7" s="7">
        <f>+WagesForecast[[#This Row],[AL Loading]]+WagesForecast[[#This Row],[Base Salary]]</f>
        <v>63902</v>
      </c>
      <c r="F7" s="7">
        <f>ROUND(+WagesForecast[[#This Row],[Total Salary]]*$M$3,0)</f>
        <v>6071</v>
      </c>
      <c r="G7" s="7">
        <f>ROUND(WagesForecast[[#This Row],[Total Salary]]*$M$4,0)</f>
        <v>1598</v>
      </c>
      <c r="H7" s="7">
        <f>SUM(WagesForecast[[#This Row],[Total Salary]:[Work Comp]])</f>
        <v>71571</v>
      </c>
      <c r="I7" s="14">
        <v>41543</v>
      </c>
      <c r="J7" s="14"/>
      <c r="O7" s="9">
        <f t="shared" si="4"/>
        <v>43721</v>
      </c>
      <c r="P7" s="8">
        <f>SUMPRODUCT(Total*(Start&lt;=$O7)*((End&gt;=$O7)+(End="")))/26</f>
        <v>41238.384615384617</v>
      </c>
      <c r="Q7" s="8">
        <f>SUMPRODUCT(Total*(Start&lt;=$O7)*(Dept=Q$1)*((End&gt;=$O7)+(End="")))/26</f>
        <v>16667.692307692309</v>
      </c>
      <c r="R7" s="8">
        <f>SUMPRODUCT(Total*(Start&lt;=$O7)*(Dept=R$1)*((End&gt;=$O7)+(End="")))/26</f>
        <v>4988.3461538461543</v>
      </c>
      <c r="S7" s="8">
        <f>SUMPRODUCT(Total*(Start&lt;=$O7)*(Dept=S$1)*((End&gt;=$O7)+(End="")))/26</f>
        <v>14854.76923076923</v>
      </c>
      <c r="T7" s="8">
        <f>SUMPRODUCT(Total*(Start&lt;=$O7)*(Dept=T$1)*((End&gt;=$O7)+(End="")))/26</f>
        <v>4727.5769230769229</v>
      </c>
      <c r="V7" s="9">
        <v>43800</v>
      </c>
      <c r="W7" s="4">
        <f t="shared" si="0"/>
        <v>2</v>
      </c>
      <c r="X7" s="8">
        <f t="shared" si="1"/>
        <v>82476.769230769234</v>
      </c>
      <c r="Z7">
        <f t="shared" si="2"/>
        <v>41238.384615384617</v>
      </c>
    </row>
    <row r="8" spans="1:30" x14ac:dyDescent="0.25">
      <c r="A8" t="s">
        <v>12</v>
      </c>
      <c r="B8" t="s">
        <v>25</v>
      </c>
      <c r="C8" s="7">
        <v>53933</v>
      </c>
      <c r="D8" s="7">
        <f>ROUND(WagesForecast[[#This Row],[Base Salary]]/52*4*$M$2,0)</f>
        <v>726</v>
      </c>
      <c r="E8" s="7">
        <f>+WagesForecast[[#This Row],[AL Loading]]+WagesForecast[[#This Row],[Base Salary]]</f>
        <v>54659</v>
      </c>
      <c r="F8" s="7">
        <f>ROUND(+WagesForecast[[#This Row],[Total Salary]]*$M$3,0)</f>
        <v>5193</v>
      </c>
      <c r="G8" s="7">
        <f>ROUND(WagesForecast[[#This Row],[Total Salary]]*$M$4,0)</f>
        <v>1366</v>
      </c>
      <c r="H8" s="7">
        <f>SUM(WagesForecast[[#This Row],[Total Salary]:[Work Comp]])</f>
        <v>61218</v>
      </c>
      <c r="I8" s="14">
        <v>41469</v>
      </c>
      <c r="J8" s="14"/>
      <c r="O8" s="9">
        <f t="shared" si="4"/>
        <v>43735</v>
      </c>
      <c r="P8" s="8">
        <f>SUMPRODUCT(Total*(Start&lt;=$O8)*((End&gt;=$O8)+(End="")))/26</f>
        <v>41238.384615384617</v>
      </c>
      <c r="Q8" s="8">
        <f>SUMPRODUCT(Total*(Start&lt;=$O8)*(Dept=Q$1)*((End&gt;=$O8)+(End="")))/26</f>
        <v>16667.692307692309</v>
      </c>
      <c r="R8" s="8">
        <f>SUMPRODUCT(Total*(Start&lt;=$O8)*(Dept=R$1)*((End&gt;=$O8)+(End="")))/26</f>
        <v>4988.3461538461543</v>
      </c>
      <c r="S8" s="8">
        <f>SUMPRODUCT(Total*(Start&lt;=$O8)*(Dept=S$1)*((End&gt;=$O8)+(End="")))/26</f>
        <v>14854.76923076923</v>
      </c>
      <c r="T8" s="8">
        <f>SUMPRODUCT(Total*(Start&lt;=$O8)*(Dept=T$1)*((End&gt;=$O8)+(End="")))/26</f>
        <v>4727.5769230769229</v>
      </c>
      <c r="V8" s="9">
        <v>43831</v>
      </c>
      <c r="W8" s="4">
        <f t="shared" si="0"/>
        <v>3</v>
      </c>
      <c r="X8" s="8">
        <f t="shared" si="1"/>
        <v>123715.15384615384</v>
      </c>
      <c r="Z8">
        <f t="shared" si="2"/>
        <v>41238.384615384617</v>
      </c>
    </row>
    <row r="9" spans="1:30" x14ac:dyDescent="0.25">
      <c r="A9" t="s">
        <v>13</v>
      </c>
      <c r="B9" t="s">
        <v>25</v>
      </c>
      <c r="C9" s="7">
        <v>60330</v>
      </c>
      <c r="D9" s="7">
        <f>ROUND(WagesForecast[[#This Row],[Base Salary]]/52*4*$M$2,0)</f>
        <v>812</v>
      </c>
      <c r="E9" s="7">
        <f>+WagesForecast[[#This Row],[AL Loading]]+WagesForecast[[#This Row],[Base Salary]]</f>
        <v>61142</v>
      </c>
      <c r="F9" s="7">
        <f>ROUND(+WagesForecast[[#This Row],[Total Salary]]*$M$3,0)</f>
        <v>5808</v>
      </c>
      <c r="G9" s="7">
        <f>ROUND(WagesForecast[[#This Row],[Total Salary]]*$M$4,0)</f>
        <v>1529</v>
      </c>
      <c r="H9" s="7">
        <f>SUM(WagesForecast[[#This Row],[Total Salary]:[Work Comp]])</f>
        <v>68479</v>
      </c>
      <c r="I9" s="14">
        <v>42686</v>
      </c>
      <c r="J9" s="14"/>
      <c r="O9" s="9">
        <f t="shared" si="4"/>
        <v>43749</v>
      </c>
      <c r="P9" s="8">
        <f>SUMPRODUCT(Total*(Start&lt;=$O9)*((End&gt;=$O9)+(End="")))/26</f>
        <v>41238.384615384617</v>
      </c>
      <c r="Q9" s="8">
        <f>SUMPRODUCT(Total*(Start&lt;=$O9)*(Dept=Q$1)*((End&gt;=$O9)+(End="")))/26</f>
        <v>16667.692307692309</v>
      </c>
      <c r="R9" s="8">
        <f>SUMPRODUCT(Total*(Start&lt;=$O9)*(Dept=R$1)*((End&gt;=$O9)+(End="")))/26</f>
        <v>4988.3461538461543</v>
      </c>
      <c r="S9" s="8">
        <f>SUMPRODUCT(Total*(Start&lt;=$O9)*(Dept=S$1)*((End&gt;=$O9)+(End="")))/26</f>
        <v>14854.76923076923</v>
      </c>
      <c r="T9" s="8">
        <f>SUMPRODUCT(Total*(Start&lt;=$O9)*(Dept=T$1)*((End&gt;=$O9)+(End="")))/26</f>
        <v>4727.5769230769229</v>
      </c>
      <c r="V9" s="9">
        <v>43862</v>
      </c>
      <c r="W9" s="4">
        <f t="shared" si="0"/>
        <v>2</v>
      </c>
      <c r="X9" s="8">
        <f t="shared" si="1"/>
        <v>82476.769230769234</v>
      </c>
      <c r="Z9">
        <f t="shared" si="2"/>
        <v>41238.384615384617</v>
      </c>
    </row>
    <row r="10" spans="1:30" x14ac:dyDescent="0.25">
      <c r="A10" t="s">
        <v>14</v>
      </c>
      <c r="B10" t="s">
        <v>24</v>
      </c>
      <c r="C10" s="7">
        <v>61733</v>
      </c>
      <c r="D10" s="7">
        <f>ROUND(WagesForecast[[#This Row],[Base Salary]]/52*4*$M$2,0)</f>
        <v>831</v>
      </c>
      <c r="E10" s="7">
        <f>+WagesForecast[[#This Row],[AL Loading]]+WagesForecast[[#This Row],[Base Salary]]</f>
        <v>62564</v>
      </c>
      <c r="F10" s="7">
        <f>ROUND(+WagesForecast[[#This Row],[Total Salary]]*$M$3,0)</f>
        <v>5944</v>
      </c>
      <c r="G10" s="7">
        <f>ROUND(WagesForecast[[#This Row],[Total Salary]]*$M$4,0)</f>
        <v>1564</v>
      </c>
      <c r="H10" s="7">
        <f>SUM(WagesForecast[[#This Row],[Total Salary]:[Work Comp]])</f>
        <v>70072</v>
      </c>
      <c r="I10" s="14">
        <v>42851</v>
      </c>
      <c r="J10" s="14"/>
      <c r="O10" s="9">
        <f t="shared" si="4"/>
        <v>43763</v>
      </c>
      <c r="P10" s="8">
        <f>SUMPRODUCT(Total*(Start&lt;=$O10)*((End&gt;=$O10)+(End="")))/26</f>
        <v>41238.384615384617</v>
      </c>
      <c r="Q10" s="8">
        <f>SUMPRODUCT(Total*(Start&lt;=$O10)*(Dept=Q$1)*((End&gt;=$O10)+(End="")))/26</f>
        <v>16667.692307692309</v>
      </c>
      <c r="R10" s="8">
        <f>SUMPRODUCT(Total*(Start&lt;=$O10)*(Dept=R$1)*((End&gt;=$O10)+(End="")))/26</f>
        <v>4988.3461538461543</v>
      </c>
      <c r="S10" s="8">
        <f>SUMPRODUCT(Total*(Start&lt;=$O10)*(Dept=S$1)*((End&gt;=$O10)+(End="")))/26</f>
        <v>14854.76923076923</v>
      </c>
      <c r="T10" s="8">
        <f>SUMPRODUCT(Total*(Start&lt;=$O10)*(Dept=T$1)*((End&gt;=$O10)+(End="")))/26</f>
        <v>4727.5769230769229</v>
      </c>
      <c r="V10" s="9">
        <v>43891</v>
      </c>
      <c r="W10" s="4">
        <f t="shared" si="0"/>
        <v>2</v>
      </c>
      <c r="X10" s="8">
        <f t="shared" si="1"/>
        <v>82476.769230769234</v>
      </c>
      <c r="Z10">
        <f t="shared" si="2"/>
        <v>41238.384615384617</v>
      </c>
    </row>
    <row r="11" spans="1:30" x14ac:dyDescent="0.25">
      <c r="A11" t="s">
        <v>15</v>
      </c>
      <c r="B11" t="s">
        <v>24</v>
      </c>
      <c r="C11" s="7">
        <v>57891</v>
      </c>
      <c r="D11" s="7">
        <f>ROUND(WagesForecast[[#This Row],[Base Salary]]/52*4*$M$2,0)</f>
        <v>779</v>
      </c>
      <c r="E11" s="7">
        <f>+WagesForecast[[#This Row],[AL Loading]]+WagesForecast[[#This Row],[Base Salary]]</f>
        <v>58670</v>
      </c>
      <c r="F11" s="7">
        <f>ROUND(+WagesForecast[[#This Row],[Total Salary]]*$M$3,0)</f>
        <v>5574</v>
      </c>
      <c r="G11" s="7">
        <f>ROUND(WagesForecast[[#This Row],[Total Salary]]*$M$4,0)</f>
        <v>1467</v>
      </c>
      <c r="H11" s="7">
        <f>SUM(WagesForecast[[#This Row],[Total Salary]:[Work Comp]])</f>
        <v>65711</v>
      </c>
      <c r="I11" s="14">
        <v>42316</v>
      </c>
      <c r="J11" s="14">
        <v>43720</v>
      </c>
      <c r="O11" s="9">
        <f t="shared" si="4"/>
        <v>43777</v>
      </c>
      <c r="P11" s="8">
        <f>SUMPRODUCT(Total*(Start&lt;=$O11)*((End&gt;=$O11)+(End="")))/26</f>
        <v>41238.384615384617</v>
      </c>
      <c r="Q11" s="8">
        <f>SUMPRODUCT(Total*(Start&lt;=$O11)*(Dept=Q$1)*((End&gt;=$O11)+(End="")))/26</f>
        <v>16667.692307692309</v>
      </c>
      <c r="R11" s="8">
        <f>SUMPRODUCT(Total*(Start&lt;=$O11)*(Dept=R$1)*((End&gt;=$O11)+(End="")))/26</f>
        <v>4988.3461538461543</v>
      </c>
      <c r="S11" s="8">
        <f>SUMPRODUCT(Total*(Start&lt;=$O11)*(Dept=S$1)*((End&gt;=$O11)+(End="")))/26</f>
        <v>14854.76923076923</v>
      </c>
      <c r="T11" s="8">
        <f>SUMPRODUCT(Total*(Start&lt;=$O11)*(Dept=T$1)*((End&gt;=$O11)+(End="")))/26</f>
        <v>4727.5769230769229</v>
      </c>
      <c r="V11" s="9">
        <v>43922</v>
      </c>
      <c r="W11" s="4">
        <f t="shared" si="0"/>
        <v>2</v>
      </c>
      <c r="X11" s="8">
        <f t="shared" si="1"/>
        <v>82476.769230769234</v>
      </c>
      <c r="Z11">
        <f t="shared" si="2"/>
        <v>41238.384615384617</v>
      </c>
    </row>
    <row r="12" spans="1:30" x14ac:dyDescent="0.25">
      <c r="A12" t="s">
        <v>16</v>
      </c>
      <c r="B12" t="s">
        <v>24</v>
      </c>
      <c r="C12" s="7">
        <v>70275</v>
      </c>
      <c r="D12" s="7">
        <f>ROUND(WagesForecast[[#This Row],[Base Salary]]/52*4*$M$2,0)</f>
        <v>946</v>
      </c>
      <c r="E12" s="7">
        <f>+WagesForecast[[#This Row],[AL Loading]]+WagesForecast[[#This Row],[Base Salary]]</f>
        <v>71221</v>
      </c>
      <c r="F12" s="7">
        <f>ROUND(+WagesForecast[[#This Row],[Total Salary]]*$M$3,0)</f>
        <v>6766</v>
      </c>
      <c r="G12" s="7">
        <f>ROUND(WagesForecast[[#This Row],[Total Salary]]*$M$4,0)</f>
        <v>1781</v>
      </c>
      <c r="H12" s="7">
        <f>SUM(WagesForecast[[#This Row],[Total Salary]:[Work Comp]])</f>
        <v>79768</v>
      </c>
      <c r="I12" s="14">
        <v>40387</v>
      </c>
      <c r="J12" s="14"/>
      <c r="O12" s="9">
        <f t="shared" si="4"/>
        <v>43791</v>
      </c>
      <c r="P12" s="8">
        <f>SUMPRODUCT(Total*(Start&lt;=$O12)*((End&gt;=$O12)+(End="")))/26</f>
        <v>41238.384615384617</v>
      </c>
      <c r="Q12" s="8">
        <f>SUMPRODUCT(Total*(Start&lt;=$O12)*(Dept=Q$1)*((End&gt;=$O12)+(End="")))/26</f>
        <v>16667.692307692309</v>
      </c>
      <c r="R12" s="8">
        <f>SUMPRODUCT(Total*(Start&lt;=$O12)*(Dept=R$1)*((End&gt;=$O12)+(End="")))/26</f>
        <v>4988.3461538461543</v>
      </c>
      <c r="S12" s="8">
        <f>SUMPRODUCT(Total*(Start&lt;=$O12)*(Dept=S$1)*((End&gt;=$O12)+(End="")))/26</f>
        <v>14854.76923076923</v>
      </c>
      <c r="T12" s="8">
        <f>SUMPRODUCT(Total*(Start&lt;=$O12)*(Dept=T$1)*((End&gt;=$O12)+(End="")))/26</f>
        <v>4727.5769230769229</v>
      </c>
      <c r="V12" s="9">
        <v>43952</v>
      </c>
      <c r="W12" s="4">
        <f t="shared" si="0"/>
        <v>2</v>
      </c>
      <c r="X12" s="8">
        <f t="shared" si="1"/>
        <v>82476.769230769234</v>
      </c>
      <c r="Z12">
        <f t="shared" si="2"/>
        <v>41238.384615384617</v>
      </c>
    </row>
    <row r="13" spans="1:30" x14ac:dyDescent="0.25">
      <c r="A13" t="s">
        <v>17</v>
      </c>
      <c r="B13" t="s">
        <v>24</v>
      </c>
      <c r="C13" s="7">
        <v>73260</v>
      </c>
      <c r="D13" s="7">
        <f>ROUND(WagesForecast[[#This Row],[Base Salary]]/52*4*$M$2,0)</f>
        <v>986</v>
      </c>
      <c r="E13" s="7">
        <f>+WagesForecast[[#This Row],[AL Loading]]+WagesForecast[[#This Row],[Base Salary]]</f>
        <v>74246</v>
      </c>
      <c r="F13" s="7">
        <f>ROUND(+WagesForecast[[#This Row],[Total Salary]]*$M$3,0)</f>
        <v>7053</v>
      </c>
      <c r="G13" s="7">
        <f>ROUND(WagesForecast[[#This Row],[Total Salary]]*$M$4,0)</f>
        <v>1856</v>
      </c>
      <c r="H13" s="7">
        <f>SUM(WagesForecast[[#This Row],[Total Salary]:[Work Comp]])</f>
        <v>83155</v>
      </c>
      <c r="I13" s="14">
        <v>42277</v>
      </c>
      <c r="J13" s="14"/>
      <c r="O13" s="9">
        <f t="shared" si="4"/>
        <v>43805</v>
      </c>
      <c r="P13" s="8">
        <f>SUMPRODUCT(Total*(Start&lt;=$O13)*((End&gt;=$O13)+(End="")))/26</f>
        <v>41238.384615384617</v>
      </c>
      <c r="Q13" s="8">
        <f>SUMPRODUCT(Total*(Start&lt;=$O13)*(Dept=Q$1)*((End&gt;=$O13)+(End="")))/26</f>
        <v>16667.692307692309</v>
      </c>
      <c r="R13" s="8">
        <f>SUMPRODUCT(Total*(Start&lt;=$O13)*(Dept=R$1)*((End&gt;=$O13)+(End="")))/26</f>
        <v>4988.3461538461543</v>
      </c>
      <c r="S13" s="8">
        <f>SUMPRODUCT(Total*(Start&lt;=$O13)*(Dept=S$1)*((End&gt;=$O13)+(End="")))/26</f>
        <v>14854.76923076923</v>
      </c>
      <c r="T13" s="8">
        <f>SUMPRODUCT(Total*(Start&lt;=$O13)*(Dept=T$1)*((End&gt;=$O13)+(End="")))/26</f>
        <v>4727.5769230769229</v>
      </c>
      <c r="V13" s="9">
        <v>43983</v>
      </c>
      <c r="W13" s="4">
        <f t="shared" si="0"/>
        <v>2</v>
      </c>
      <c r="X13" s="8">
        <f t="shared" si="1"/>
        <v>82476.769230769234</v>
      </c>
      <c r="Z13">
        <f t="shared" si="2"/>
        <v>41238.384615384617</v>
      </c>
    </row>
    <row r="14" spans="1:30" x14ac:dyDescent="0.25">
      <c r="A14" t="s">
        <v>18</v>
      </c>
      <c r="B14" t="s">
        <v>24</v>
      </c>
      <c r="C14" s="7">
        <v>69995</v>
      </c>
      <c r="D14" s="7">
        <f>ROUND(WagesForecast[[#This Row],[Base Salary]]/52*4*$M$2,0)</f>
        <v>942</v>
      </c>
      <c r="E14" s="7">
        <f>+WagesForecast[[#This Row],[AL Loading]]+WagesForecast[[#This Row],[Base Salary]]</f>
        <v>70937</v>
      </c>
      <c r="F14" s="7">
        <f>ROUND(+WagesForecast[[#This Row],[Total Salary]]*$M$3,0)</f>
        <v>6739</v>
      </c>
      <c r="G14" s="7">
        <f>ROUND(WagesForecast[[#This Row],[Total Salary]]*$M$4,0)</f>
        <v>1773</v>
      </c>
      <c r="H14" s="7">
        <f>SUM(WagesForecast[[#This Row],[Total Salary]:[Work Comp]])</f>
        <v>79449</v>
      </c>
      <c r="I14" s="14">
        <v>41411</v>
      </c>
      <c r="J14" s="14"/>
      <c r="O14" s="9">
        <f t="shared" si="4"/>
        <v>43819</v>
      </c>
      <c r="P14" s="8">
        <f>SUMPRODUCT(Total*(Start&lt;=$O14)*((End&gt;=$O14)+(End="")))/26</f>
        <v>41238.384615384617</v>
      </c>
      <c r="Q14" s="8">
        <f>SUMPRODUCT(Total*(Start&lt;=$O14)*(Dept=Q$1)*((End&gt;=$O14)+(End="")))/26</f>
        <v>16667.692307692309</v>
      </c>
      <c r="R14" s="8">
        <f>SUMPRODUCT(Total*(Start&lt;=$O14)*(Dept=R$1)*((End&gt;=$O14)+(End="")))/26</f>
        <v>4988.3461538461543</v>
      </c>
      <c r="S14" s="8">
        <f>SUMPRODUCT(Total*(Start&lt;=$O14)*(Dept=S$1)*((End&gt;=$O14)+(End="")))/26</f>
        <v>14854.76923076923</v>
      </c>
      <c r="T14" s="8">
        <f>SUMPRODUCT(Total*(Start&lt;=$O14)*(Dept=T$1)*((End&gt;=$O14)+(End="")))/26</f>
        <v>4727.5769230769229</v>
      </c>
      <c r="W14" s="2">
        <f>SUM(W2:W13)</f>
        <v>26</v>
      </c>
      <c r="X14" s="13">
        <f>SUM(X2:X13)</f>
        <v>1068866.6923076925</v>
      </c>
      <c r="Z14">
        <f t="shared" si="2"/>
        <v>41238.384615384617</v>
      </c>
    </row>
    <row r="15" spans="1:30" x14ac:dyDescent="0.25">
      <c r="A15" t="s">
        <v>19</v>
      </c>
      <c r="B15" t="s">
        <v>27</v>
      </c>
      <c r="C15" s="7">
        <v>53010</v>
      </c>
      <c r="D15" s="7">
        <f>ROUND(WagesForecast[[#This Row],[Base Salary]]/52*4*$M$2,0)</f>
        <v>714</v>
      </c>
      <c r="E15" s="7">
        <f>+WagesForecast[[#This Row],[AL Loading]]+WagesForecast[[#This Row],[Base Salary]]</f>
        <v>53724</v>
      </c>
      <c r="F15" s="7">
        <f>ROUND(+WagesForecast[[#This Row],[Total Salary]]*$M$3,0)</f>
        <v>5104</v>
      </c>
      <c r="G15" s="7">
        <f>ROUND(WagesForecast[[#This Row],[Total Salary]]*$M$4,0)</f>
        <v>1343</v>
      </c>
      <c r="H15" s="7">
        <f>SUM(WagesForecast[[#This Row],[Total Salary]:[Work Comp]])</f>
        <v>60171</v>
      </c>
      <c r="I15" s="14">
        <v>40523</v>
      </c>
      <c r="J15" s="14"/>
      <c r="O15" s="9">
        <f t="shared" si="4"/>
        <v>43833</v>
      </c>
      <c r="P15" s="8">
        <f>SUMPRODUCT(Total*(Start&lt;=$O15)*((End&gt;=$O15)+(End="")))/26</f>
        <v>41238.384615384617</v>
      </c>
      <c r="Q15" s="8">
        <f>SUMPRODUCT(Total*(Start&lt;=$O15)*(Dept=Q$1)*((End&gt;=$O15)+(End="")))/26</f>
        <v>16667.692307692309</v>
      </c>
      <c r="R15" s="8">
        <f>SUMPRODUCT(Total*(Start&lt;=$O15)*(Dept=R$1)*((End&gt;=$O15)+(End="")))/26</f>
        <v>4988.3461538461543</v>
      </c>
      <c r="S15" s="8">
        <f>SUMPRODUCT(Total*(Start&lt;=$O15)*(Dept=S$1)*((End&gt;=$O15)+(End="")))/26</f>
        <v>14854.76923076923</v>
      </c>
      <c r="T15" s="8">
        <f>SUMPRODUCT(Total*(Start&lt;=$O15)*(Dept=T$1)*((End&gt;=$O15)+(End="")))/26</f>
        <v>4727.5769230769229</v>
      </c>
      <c r="Z15">
        <f t="shared" si="2"/>
        <v>41238.384615384617</v>
      </c>
    </row>
    <row r="16" spans="1:30" x14ac:dyDescent="0.25">
      <c r="A16" t="s">
        <v>20</v>
      </c>
      <c r="B16" t="s">
        <v>27</v>
      </c>
      <c r="C16" s="7">
        <v>55279</v>
      </c>
      <c r="D16" s="7">
        <f>ROUND(WagesForecast[[#This Row],[Base Salary]]/52*4*$M$2,0)</f>
        <v>744</v>
      </c>
      <c r="E16" s="7">
        <f>+WagesForecast[[#This Row],[AL Loading]]+WagesForecast[[#This Row],[Base Salary]]</f>
        <v>56023</v>
      </c>
      <c r="F16" s="7">
        <f>ROUND(+WagesForecast[[#This Row],[Total Salary]]*$M$3,0)</f>
        <v>5322</v>
      </c>
      <c r="G16" s="7">
        <f>ROUND(WagesForecast[[#This Row],[Total Salary]]*$M$4,0)</f>
        <v>1401</v>
      </c>
      <c r="H16" s="7">
        <f>SUM(WagesForecast[[#This Row],[Total Salary]:[Work Comp]])</f>
        <v>62746</v>
      </c>
      <c r="I16" s="14">
        <v>40512</v>
      </c>
      <c r="J16" s="14"/>
      <c r="O16" s="9">
        <f t="shared" si="4"/>
        <v>43847</v>
      </c>
      <c r="P16" s="8">
        <f>SUMPRODUCT(Total*(Start&lt;=$O16)*((End&gt;=$O16)+(End="")))/26</f>
        <v>41238.384615384617</v>
      </c>
      <c r="Q16" s="8">
        <f>SUMPRODUCT(Total*(Start&lt;=$O16)*(Dept=Q$1)*((End&gt;=$O16)+(End="")))/26</f>
        <v>16667.692307692309</v>
      </c>
      <c r="R16" s="8">
        <f>SUMPRODUCT(Total*(Start&lt;=$O16)*(Dept=R$1)*((End&gt;=$O16)+(End="")))/26</f>
        <v>4988.3461538461543</v>
      </c>
      <c r="S16" s="8">
        <f>SUMPRODUCT(Total*(Start&lt;=$O16)*(Dept=S$1)*((End&gt;=$O16)+(End="")))/26</f>
        <v>14854.76923076923</v>
      </c>
      <c r="T16" s="8">
        <f>SUMPRODUCT(Total*(Start&lt;=$O16)*(Dept=T$1)*((End&gt;=$O16)+(End="")))/26</f>
        <v>4727.5769230769229</v>
      </c>
      <c r="Z16">
        <f t="shared" si="2"/>
        <v>41238.384615384617</v>
      </c>
    </row>
    <row r="17" spans="1:26" x14ac:dyDescent="0.25">
      <c r="A17" t="s">
        <v>37</v>
      </c>
      <c r="B17" t="s">
        <v>26</v>
      </c>
      <c r="C17" s="7">
        <v>55000</v>
      </c>
      <c r="D17" s="7">
        <f>ROUND(WagesForecast[[#This Row],[Base Salary]]/52*4*$M$2,0)</f>
        <v>740</v>
      </c>
      <c r="E17" s="7">
        <f>+WagesForecast[[#This Row],[AL Loading]]+WagesForecast[[#This Row],[Base Salary]]</f>
        <v>55740</v>
      </c>
      <c r="F17" s="7">
        <f>ROUND(+WagesForecast[[#This Row],[Total Salary]]*$M$3,0)</f>
        <v>5295</v>
      </c>
      <c r="G17" s="7">
        <f>ROUND(WagesForecast[[#This Row],[Total Salary]]*$M$4,0)</f>
        <v>1394</v>
      </c>
      <c r="H17" s="7">
        <f>SUM(WagesForecast[[#This Row],[Total Salary]:[Work Comp]])</f>
        <v>62429</v>
      </c>
      <c r="I17" s="14">
        <v>43693</v>
      </c>
      <c r="J17" s="14"/>
      <c r="O17" s="9">
        <f t="shared" si="4"/>
        <v>43861</v>
      </c>
      <c r="P17" s="8">
        <f>SUMPRODUCT(Total*(Start&lt;=$O17)*((End&gt;=$O17)+(End="")))/26</f>
        <v>41238.384615384617</v>
      </c>
      <c r="Q17" s="8">
        <f>SUMPRODUCT(Total*(Start&lt;=$O17)*(Dept=Q$1)*((End&gt;=$O17)+(End="")))/26</f>
        <v>16667.692307692309</v>
      </c>
      <c r="R17" s="8">
        <f>SUMPRODUCT(Total*(Start&lt;=$O17)*(Dept=R$1)*((End&gt;=$O17)+(End="")))/26</f>
        <v>4988.3461538461543</v>
      </c>
      <c r="S17" s="8">
        <f>SUMPRODUCT(Total*(Start&lt;=$O17)*(Dept=S$1)*((End&gt;=$O17)+(End="")))/26</f>
        <v>14854.76923076923</v>
      </c>
      <c r="T17" s="8">
        <f>SUMPRODUCT(Total*(Start&lt;=$O17)*(Dept=T$1)*((End&gt;=$O17)+(End="")))/26</f>
        <v>4727.5769230769229</v>
      </c>
      <c r="Z17">
        <f t="shared" si="2"/>
        <v>41238.384615384617</v>
      </c>
    </row>
    <row r="18" spans="1:26" x14ac:dyDescent="0.25">
      <c r="A18" t="s">
        <v>38</v>
      </c>
      <c r="B18" t="s">
        <v>24</v>
      </c>
      <c r="C18" s="7">
        <v>65000</v>
      </c>
      <c r="D18" s="7">
        <f>ROUND(WagesForecast[[#This Row],[Base Salary]]/52*4*$M$2,0)</f>
        <v>875</v>
      </c>
      <c r="E18" s="7">
        <f>+WagesForecast[[#This Row],[AL Loading]]+WagesForecast[[#This Row],[Base Salary]]</f>
        <v>65875</v>
      </c>
      <c r="F18" s="7">
        <f>ROUND(+WagesForecast[[#This Row],[Total Salary]]*$M$3,0)</f>
        <v>6258</v>
      </c>
      <c r="G18" s="7">
        <f>ROUND(WagesForecast[[#This Row],[Total Salary]]*$M$4,0)</f>
        <v>1647</v>
      </c>
      <c r="H18" s="7">
        <f>SUM(WagesForecast[[#This Row],[Total Salary]:[Work Comp]])</f>
        <v>73780</v>
      </c>
      <c r="I18" s="14">
        <v>43721</v>
      </c>
      <c r="J18" s="14"/>
      <c r="O18" s="9">
        <f t="shared" si="4"/>
        <v>43875</v>
      </c>
      <c r="P18" s="8">
        <f>SUMPRODUCT(Total*(Start&lt;=$O18)*((End&gt;=$O18)+(End="")))/26</f>
        <v>41238.384615384617</v>
      </c>
      <c r="Q18" s="8">
        <f>SUMPRODUCT(Total*(Start&lt;=$O18)*(Dept=Q$1)*((End&gt;=$O18)+(End="")))/26</f>
        <v>16667.692307692309</v>
      </c>
      <c r="R18" s="8">
        <f>SUMPRODUCT(Total*(Start&lt;=$O18)*(Dept=R$1)*((End&gt;=$O18)+(End="")))/26</f>
        <v>4988.3461538461543</v>
      </c>
      <c r="S18" s="8">
        <f>SUMPRODUCT(Total*(Start&lt;=$O18)*(Dept=S$1)*((End&gt;=$O18)+(End="")))/26</f>
        <v>14854.76923076923</v>
      </c>
      <c r="T18" s="8">
        <f>SUMPRODUCT(Total*(Start&lt;=$O18)*(Dept=T$1)*((End&gt;=$O18)+(End="")))/26</f>
        <v>4727.5769230769229</v>
      </c>
      <c r="Z18">
        <f t="shared" si="2"/>
        <v>41238.384615384617</v>
      </c>
    </row>
    <row r="19" spans="1:26" x14ac:dyDescent="0.25">
      <c r="O19" s="9">
        <f t="shared" si="4"/>
        <v>43889</v>
      </c>
      <c r="P19" s="8">
        <f>SUMPRODUCT(Total*(Start&lt;=$O19)*((End&gt;=$O19)+(End="")))/26</f>
        <v>41238.384615384617</v>
      </c>
      <c r="Q19" s="8">
        <f>SUMPRODUCT(Total*(Start&lt;=$O19)*(Dept=Q$1)*((End&gt;=$O19)+(End="")))/26</f>
        <v>16667.692307692309</v>
      </c>
      <c r="R19" s="8">
        <f>SUMPRODUCT(Total*(Start&lt;=$O19)*(Dept=R$1)*((End&gt;=$O19)+(End="")))/26</f>
        <v>4988.3461538461543</v>
      </c>
      <c r="S19" s="8">
        <f>SUMPRODUCT(Total*(Start&lt;=$O19)*(Dept=S$1)*((End&gt;=$O19)+(End="")))/26</f>
        <v>14854.76923076923</v>
      </c>
      <c r="T19" s="8">
        <f>SUMPRODUCT(Total*(Start&lt;=$O19)*(Dept=T$1)*((End&gt;=$O19)+(End="")))/26</f>
        <v>4727.5769230769229</v>
      </c>
      <c r="Z19">
        <f t="shared" si="2"/>
        <v>41238.384615384617</v>
      </c>
    </row>
    <row r="20" spans="1:26" x14ac:dyDescent="0.25">
      <c r="O20" s="9">
        <f t="shared" si="4"/>
        <v>43903</v>
      </c>
      <c r="P20" s="8">
        <f>SUMPRODUCT(Total*(Start&lt;=$O20)*((End&gt;=$O20)+(End="")))/26</f>
        <v>41238.384615384617</v>
      </c>
      <c r="Q20" s="8">
        <f>SUMPRODUCT(Total*(Start&lt;=$O20)*(Dept=Q$1)*((End&gt;=$O20)+(End="")))/26</f>
        <v>16667.692307692309</v>
      </c>
      <c r="R20" s="8">
        <f>SUMPRODUCT(Total*(Start&lt;=$O20)*(Dept=R$1)*((End&gt;=$O20)+(End="")))/26</f>
        <v>4988.3461538461543</v>
      </c>
      <c r="S20" s="8">
        <f>SUMPRODUCT(Total*(Start&lt;=$O20)*(Dept=S$1)*((End&gt;=$O20)+(End="")))/26</f>
        <v>14854.76923076923</v>
      </c>
      <c r="T20" s="8">
        <f>SUMPRODUCT(Total*(Start&lt;=$O20)*(Dept=T$1)*((End&gt;=$O20)+(End="")))/26</f>
        <v>4727.5769230769229</v>
      </c>
      <c r="Z20">
        <f t="shared" si="2"/>
        <v>41238.384615384617</v>
      </c>
    </row>
    <row r="21" spans="1:26" x14ac:dyDescent="0.25">
      <c r="O21" s="9">
        <f t="shared" si="4"/>
        <v>43917</v>
      </c>
      <c r="P21" s="8">
        <f>SUMPRODUCT(Total*(Start&lt;=$O21)*((End&gt;=$O21)+(End="")))/26</f>
        <v>41238.384615384617</v>
      </c>
      <c r="Q21" s="8">
        <f>SUMPRODUCT(Total*(Start&lt;=$O21)*(Dept=Q$1)*((End&gt;=$O21)+(End="")))/26</f>
        <v>16667.692307692309</v>
      </c>
      <c r="R21" s="8">
        <f>SUMPRODUCT(Total*(Start&lt;=$O21)*(Dept=R$1)*((End&gt;=$O21)+(End="")))/26</f>
        <v>4988.3461538461543</v>
      </c>
      <c r="S21" s="8">
        <f>SUMPRODUCT(Total*(Start&lt;=$O21)*(Dept=S$1)*((End&gt;=$O21)+(End="")))/26</f>
        <v>14854.76923076923</v>
      </c>
      <c r="T21" s="8">
        <f>SUMPRODUCT(Total*(Start&lt;=$O21)*(Dept=T$1)*((End&gt;=$O21)+(End="")))/26</f>
        <v>4727.5769230769229</v>
      </c>
      <c r="Z21">
        <f t="shared" si="2"/>
        <v>41238.384615384617</v>
      </c>
    </row>
    <row r="22" spans="1:26" x14ac:dyDescent="0.25">
      <c r="O22" s="9">
        <f t="shared" si="4"/>
        <v>43931</v>
      </c>
      <c r="P22" s="8">
        <f>SUMPRODUCT(Total*(Start&lt;=$O22)*((End&gt;=$O22)+(End="")))/26</f>
        <v>41238.384615384617</v>
      </c>
      <c r="Q22" s="8">
        <f>SUMPRODUCT(Total*(Start&lt;=$O22)*(Dept=Q$1)*((End&gt;=$O22)+(End="")))/26</f>
        <v>16667.692307692309</v>
      </c>
      <c r="R22" s="8">
        <f>SUMPRODUCT(Total*(Start&lt;=$O22)*(Dept=R$1)*((End&gt;=$O22)+(End="")))/26</f>
        <v>4988.3461538461543</v>
      </c>
      <c r="S22" s="8">
        <f>SUMPRODUCT(Total*(Start&lt;=$O22)*(Dept=S$1)*((End&gt;=$O22)+(End="")))/26</f>
        <v>14854.76923076923</v>
      </c>
      <c r="T22" s="8">
        <f>SUMPRODUCT(Total*(Start&lt;=$O22)*(Dept=T$1)*((End&gt;=$O22)+(End="")))/26</f>
        <v>4727.5769230769229</v>
      </c>
      <c r="Z22">
        <f t="shared" si="2"/>
        <v>41238.384615384617</v>
      </c>
    </row>
    <row r="23" spans="1:26" x14ac:dyDescent="0.25">
      <c r="O23" s="9">
        <f t="shared" si="4"/>
        <v>43945</v>
      </c>
      <c r="P23" s="8">
        <f>SUMPRODUCT(Total*(Start&lt;=$O23)*((End&gt;=$O23)+(End="")))/26</f>
        <v>41238.384615384617</v>
      </c>
      <c r="Q23" s="8">
        <f>SUMPRODUCT(Total*(Start&lt;=$O23)*(Dept=Q$1)*((End&gt;=$O23)+(End="")))/26</f>
        <v>16667.692307692309</v>
      </c>
      <c r="R23" s="8">
        <f>SUMPRODUCT(Total*(Start&lt;=$O23)*(Dept=R$1)*((End&gt;=$O23)+(End="")))/26</f>
        <v>4988.3461538461543</v>
      </c>
      <c r="S23" s="8">
        <f>SUMPRODUCT(Total*(Start&lt;=$O23)*(Dept=S$1)*((End&gt;=$O23)+(End="")))/26</f>
        <v>14854.76923076923</v>
      </c>
      <c r="T23" s="8">
        <f>SUMPRODUCT(Total*(Start&lt;=$O23)*(Dept=T$1)*((End&gt;=$O23)+(End="")))/26</f>
        <v>4727.5769230769229</v>
      </c>
      <c r="Z23">
        <f t="shared" si="2"/>
        <v>41238.384615384617</v>
      </c>
    </row>
    <row r="24" spans="1:26" x14ac:dyDescent="0.25">
      <c r="O24" s="9">
        <f t="shared" si="4"/>
        <v>43959</v>
      </c>
      <c r="P24" s="8">
        <f>SUMPRODUCT(Total*(Start&lt;=$O24)*((End&gt;=$O24)+(End="")))/26</f>
        <v>41238.384615384617</v>
      </c>
      <c r="Q24" s="8">
        <f>SUMPRODUCT(Total*(Start&lt;=$O24)*(Dept=Q$1)*((End&gt;=$O24)+(End="")))/26</f>
        <v>16667.692307692309</v>
      </c>
      <c r="R24" s="8">
        <f>SUMPRODUCT(Total*(Start&lt;=$O24)*(Dept=R$1)*((End&gt;=$O24)+(End="")))/26</f>
        <v>4988.3461538461543</v>
      </c>
      <c r="S24" s="8">
        <f>SUMPRODUCT(Total*(Start&lt;=$O24)*(Dept=S$1)*((End&gt;=$O24)+(End="")))/26</f>
        <v>14854.76923076923</v>
      </c>
      <c r="T24" s="8">
        <f>SUMPRODUCT(Total*(Start&lt;=$O24)*(Dept=T$1)*((End&gt;=$O24)+(End="")))/26</f>
        <v>4727.5769230769229</v>
      </c>
      <c r="Z24">
        <f t="shared" si="2"/>
        <v>41238.384615384617</v>
      </c>
    </row>
    <row r="25" spans="1:26" x14ac:dyDescent="0.25">
      <c r="O25" s="9">
        <f t="shared" si="4"/>
        <v>43973</v>
      </c>
      <c r="P25" s="8">
        <f>SUMPRODUCT(Total*(Start&lt;=$O25)*((End&gt;=$O25)+(End="")))/26</f>
        <v>41238.384615384617</v>
      </c>
      <c r="Q25" s="8">
        <f>SUMPRODUCT(Total*(Start&lt;=$O25)*(Dept=Q$1)*((End&gt;=$O25)+(End="")))/26</f>
        <v>16667.692307692309</v>
      </c>
      <c r="R25" s="8">
        <f>SUMPRODUCT(Total*(Start&lt;=$O25)*(Dept=R$1)*((End&gt;=$O25)+(End="")))/26</f>
        <v>4988.3461538461543</v>
      </c>
      <c r="S25" s="8">
        <f>SUMPRODUCT(Total*(Start&lt;=$O25)*(Dept=S$1)*((End&gt;=$O25)+(End="")))/26</f>
        <v>14854.76923076923</v>
      </c>
      <c r="T25" s="8">
        <f>SUMPRODUCT(Total*(Start&lt;=$O25)*(Dept=T$1)*((End&gt;=$O25)+(End="")))/26</f>
        <v>4727.5769230769229</v>
      </c>
      <c r="Z25">
        <f t="shared" si="2"/>
        <v>41238.384615384617</v>
      </c>
    </row>
    <row r="26" spans="1:26" x14ac:dyDescent="0.25">
      <c r="O26" s="9">
        <f t="shared" si="4"/>
        <v>43987</v>
      </c>
      <c r="P26" s="8">
        <f>SUMPRODUCT(Total*(Start&lt;=$O26)*((End&gt;=$O26)+(End="")))/26</f>
        <v>41238.384615384617</v>
      </c>
      <c r="Q26" s="8">
        <f>SUMPRODUCT(Total*(Start&lt;=$O26)*(Dept=Q$1)*((End&gt;=$O26)+(End="")))/26</f>
        <v>16667.692307692309</v>
      </c>
      <c r="R26" s="8">
        <f>SUMPRODUCT(Total*(Start&lt;=$O26)*(Dept=R$1)*((End&gt;=$O26)+(End="")))/26</f>
        <v>4988.3461538461543</v>
      </c>
      <c r="S26" s="8">
        <f>SUMPRODUCT(Total*(Start&lt;=$O26)*(Dept=S$1)*((End&gt;=$O26)+(End="")))/26</f>
        <v>14854.76923076923</v>
      </c>
      <c r="T26" s="8">
        <f>SUMPRODUCT(Total*(Start&lt;=$O26)*(Dept=T$1)*((End&gt;=$O26)+(End="")))/26</f>
        <v>4727.5769230769229</v>
      </c>
      <c r="Z26">
        <f t="shared" si="2"/>
        <v>41238.384615384617</v>
      </c>
    </row>
    <row r="27" spans="1:26" x14ac:dyDescent="0.25">
      <c r="O27" s="9">
        <f t="shared" si="4"/>
        <v>44001</v>
      </c>
      <c r="P27" s="8">
        <f>SUMPRODUCT(Total*(Start&lt;=$O27)*((End&gt;=$O27)+(End="")))/26</f>
        <v>41238.384615384617</v>
      </c>
      <c r="Q27" s="8">
        <f>SUMPRODUCT(Total*(Start&lt;=$O27)*(Dept=Q$1)*((End&gt;=$O27)+(End="")))/26</f>
        <v>16667.692307692309</v>
      </c>
      <c r="R27" s="8">
        <f>SUMPRODUCT(Total*(Start&lt;=$O27)*(Dept=R$1)*((End&gt;=$O27)+(End="")))/26</f>
        <v>4988.3461538461543</v>
      </c>
      <c r="S27" s="8">
        <f>SUMPRODUCT(Total*(Start&lt;=$O27)*(Dept=S$1)*((End&gt;=$O27)+(End="")))/26</f>
        <v>14854.76923076923</v>
      </c>
      <c r="T27" s="8">
        <f>SUMPRODUCT(Total*(Start&lt;=$O27)*(Dept=T$1)*((End&gt;=$O27)+(End="")))/26</f>
        <v>4727.5769230769229</v>
      </c>
      <c r="Z27">
        <f t="shared" si="2"/>
        <v>41238.384615384617</v>
      </c>
    </row>
    <row r="28" spans="1:26" x14ac:dyDescent="0.25">
      <c r="O28" s="12" t="s">
        <v>29</v>
      </c>
      <c r="P28" s="13">
        <f>SUM(P2:P27)</f>
        <v>1068866.6923076925</v>
      </c>
      <c r="Q28" s="13">
        <f t="shared" ref="Q28:T28" si="5">SUM(Q2:Q27)</f>
        <v>431580.42307692318</v>
      </c>
      <c r="R28" s="13">
        <f t="shared" si="5"/>
        <v>129697.00000000004</v>
      </c>
      <c r="S28" s="13">
        <f t="shared" si="5"/>
        <v>384672.26923076931</v>
      </c>
      <c r="T28" s="13">
        <f t="shared" si="5"/>
        <v>122916.99999999999</v>
      </c>
    </row>
    <row r="29" spans="1:26" x14ac:dyDescent="0.25">
      <c r="O29" s="11"/>
      <c r="T29" s="15">
        <f>SUM(Q28:T28)</f>
        <v>1068866.6923076925</v>
      </c>
    </row>
    <row r="30" spans="1:26" x14ac:dyDescent="0.25">
      <c r="O30" s="11"/>
    </row>
    <row r="31" spans="1:26" x14ac:dyDescent="0.25">
      <c r="O31" s="11"/>
    </row>
    <row r="32" spans="1:26" x14ac:dyDescent="0.25">
      <c r="O32" s="11"/>
    </row>
    <row r="33" spans="15:15" x14ac:dyDescent="0.25">
      <c r="O33" s="11"/>
    </row>
    <row r="34" spans="15:15" x14ac:dyDescent="0.25">
      <c r="O34" s="11"/>
    </row>
    <row r="35" spans="15:15" x14ac:dyDescent="0.25">
      <c r="O35" s="11"/>
    </row>
    <row r="36" spans="15:15" x14ac:dyDescent="0.25">
      <c r="O36" s="11"/>
    </row>
    <row r="37" spans="15:15" x14ac:dyDescent="0.25">
      <c r="O37" s="11"/>
    </row>
    <row r="38" spans="15:15" x14ac:dyDescent="0.25">
      <c r="O38" s="11"/>
    </row>
    <row r="39" spans="15:15" x14ac:dyDescent="0.25">
      <c r="O39" s="11"/>
    </row>
    <row r="40" spans="15:15" x14ac:dyDescent="0.25">
      <c r="O40" s="11"/>
    </row>
    <row r="41" spans="15:15" x14ac:dyDescent="0.25">
      <c r="O41" s="11"/>
    </row>
    <row r="42" spans="15:15" x14ac:dyDescent="0.25">
      <c r="O42" s="11"/>
    </row>
    <row r="43" spans="15:15" x14ac:dyDescent="0.25">
      <c r="O43" s="11"/>
    </row>
    <row r="44" spans="15:15" x14ac:dyDescent="0.25">
      <c r="O44" s="11"/>
    </row>
    <row r="45" spans="15:15" x14ac:dyDescent="0.25">
      <c r="O45" s="11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Wages_Budget</vt:lpstr>
      <vt:lpstr>Wages_Forecast</vt:lpstr>
      <vt:lpstr>Dept</vt:lpstr>
      <vt:lpstr>End</vt:lpstr>
      <vt:lpstr>Start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2018-08-28T05:26:52Z</dcterms:created>
  <dcterms:modified xsi:type="dcterms:W3CDTF">2019-02-20T10:42:03Z</dcterms:modified>
</cp:coreProperties>
</file>